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floydb\Dropbox\Accountant\Budget\FY2018\"/>
    </mc:Choice>
  </mc:AlternateContent>
  <bookViews>
    <workbookView xWindow="0" yWindow="0" windowWidth="25605" windowHeight="16065"/>
  </bookViews>
  <sheets>
    <sheet name="Statement of Rev &amp; Exp" sheetId="7" r:id="rId1"/>
    <sheet name="Summary" sheetId="2" r:id="rId2"/>
    <sheet name="Detail" sheetId="1" r:id="rId3"/>
    <sheet name="Food Service" sheetId="3" r:id="rId4"/>
    <sheet name="Debt Service" sheetId="4" r:id="rId5"/>
  </sheets>
  <definedNames>
    <definedName name="_xlnm.Print_Titles" localSheetId="2">Detail!$1:$2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3" i="7" l="1"/>
  <c r="F9" i="2"/>
  <c r="C17" i="7"/>
  <c r="F10" i="2"/>
  <c r="C18" i="7"/>
  <c r="F11" i="2"/>
  <c r="C19" i="7"/>
  <c r="F12" i="2"/>
  <c r="C20" i="7"/>
  <c r="F13" i="2"/>
  <c r="C21" i="7"/>
  <c r="F14" i="2"/>
  <c r="C22" i="7"/>
  <c r="F15" i="2"/>
  <c r="C23" i="7"/>
  <c r="F16" i="2"/>
  <c r="C24" i="7"/>
  <c r="F17" i="2"/>
  <c r="C25" i="7"/>
  <c r="F18" i="2"/>
  <c r="C27" i="7"/>
  <c r="F19" i="2"/>
  <c r="C28" i="7"/>
  <c r="F20" i="2"/>
  <c r="C29" i="7"/>
  <c r="F21" i="2"/>
  <c r="C30" i="7"/>
  <c r="F22" i="2"/>
  <c r="C31" i="7"/>
  <c r="F24" i="2"/>
  <c r="C33" i="7"/>
  <c r="F25" i="2"/>
  <c r="C36" i="7"/>
  <c r="F26" i="2"/>
  <c r="C37" i="7"/>
  <c r="F27" i="2"/>
  <c r="C40" i="7"/>
  <c r="C41" i="7"/>
  <c r="C43" i="7"/>
  <c r="E11" i="7"/>
  <c r="C13" i="7"/>
  <c r="C11" i="7"/>
  <c r="C12" i="7"/>
  <c r="G14" i="7"/>
  <c r="G41" i="7"/>
  <c r="G43" i="7"/>
  <c r="E14" i="7"/>
  <c r="E41" i="7"/>
  <c r="E43" i="7"/>
  <c r="C14" i="7"/>
  <c r="F23" i="2"/>
  <c r="F29" i="2"/>
  <c r="H22" i="1"/>
  <c r="G116" i="1"/>
  <c r="H116" i="1"/>
  <c r="H143" i="1"/>
  <c r="H218" i="1"/>
  <c r="H298" i="1"/>
  <c r="H145" i="1"/>
  <c r="H220" i="1"/>
  <c r="H300" i="1"/>
  <c r="G53" i="1"/>
  <c r="H53" i="1"/>
  <c r="G117" i="1"/>
  <c r="H117" i="1"/>
  <c r="H147" i="1"/>
  <c r="H221" i="1"/>
  <c r="H302" i="1"/>
  <c r="H54" i="1"/>
  <c r="H148" i="1"/>
  <c r="H222" i="1"/>
  <c r="H303" i="1"/>
  <c r="G56" i="1"/>
  <c r="H56" i="1"/>
  <c r="H150" i="1"/>
  <c r="H224" i="1"/>
  <c r="H305" i="1"/>
  <c r="H59" i="1"/>
  <c r="G119" i="1"/>
  <c r="H119" i="1"/>
  <c r="H155" i="1"/>
  <c r="H228" i="1"/>
  <c r="H310" i="1"/>
  <c r="H60" i="1"/>
  <c r="H156" i="1"/>
  <c r="H229" i="1"/>
  <c r="H311" i="1"/>
  <c r="H179" i="1"/>
  <c r="H252" i="1"/>
  <c r="H334" i="1"/>
  <c r="H57" i="1"/>
  <c r="G118" i="1"/>
  <c r="H118" i="1"/>
  <c r="H152" i="1"/>
  <c r="H226" i="1"/>
  <c r="H307" i="1"/>
  <c r="H176" i="1"/>
  <c r="H249" i="1"/>
  <c r="H331" i="1"/>
  <c r="G125" i="1"/>
  <c r="H125" i="1"/>
  <c r="H167" i="1"/>
  <c r="H240" i="1"/>
  <c r="H322" i="1"/>
  <c r="G73" i="1"/>
  <c r="H73" i="1"/>
  <c r="G129" i="1"/>
  <c r="H129" i="1"/>
  <c r="H174" i="1"/>
  <c r="H247" i="1"/>
  <c r="H329" i="1"/>
  <c r="H71" i="1"/>
  <c r="G128" i="1"/>
  <c r="H128" i="1"/>
  <c r="H171" i="1"/>
  <c r="H244" i="1"/>
  <c r="H326" i="1"/>
  <c r="H55" i="1"/>
  <c r="H58" i="1"/>
  <c r="H61" i="1"/>
  <c r="H62" i="1"/>
  <c r="H64" i="1"/>
  <c r="H65" i="1"/>
  <c r="H69" i="1"/>
  <c r="G70" i="1"/>
  <c r="H70" i="1"/>
  <c r="G75" i="1"/>
  <c r="H75" i="1"/>
  <c r="H76" i="1"/>
  <c r="H77" i="1"/>
  <c r="H78" i="1"/>
  <c r="H79" i="1"/>
  <c r="H80" i="1"/>
  <c r="H81" i="1"/>
  <c r="H82" i="1"/>
  <c r="H83" i="1"/>
  <c r="H84" i="1"/>
  <c r="H85" i="1"/>
  <c r="H120" i="1"/>
  <c r="H121" i="1"/>
  <c r="H122" i="1"/>
  <c r="H123" i="1"/>
  <c r="G124" i="1"/>
  <c r="H124" i="1"/>
  <c r="H126" i="1"/>
  <c r="G127" i="1"/>
  <c r="H127" i="1"/>
  <c r="G130" i="1"/>
  <c r="H130" i="1"/>
  <c r="H131" i="1"/>
  <c r="H132" i="1"/>
  <c r="H133" i="1"/>
  <c r="H144" i="1"/>
  <c r="H149" i="1"/>
  <c r="H153" i="1"/>
  <c r="H157" i="1"/>
  <c r="H164" i="1"/>
  <c r="H165" i="1"/>
  <c r="H168" i="1"/>
  <c r="H169" i="1"/>
  <c r="H170" i="1"/>
  <c r="H172" i="1"/>
  <c r="H175" i="1"/>
  <c r="H177" i="1"/>
  <c r="H178" i="1"/>
  <c r="H180" i="1"/>
  <c r="H181" i="1"/>
  <c r="H182" i="1"/>
  <c r="H183" i="1"/>
  <c r="H184" i="1"/>
  <c r="H185" i="1"/>
  <c r="H187" i="1"/>
  <c r="H223" i="1"/>
  <c r="H227" i="1"/>
  <c r="H230" i="1"/>
  <c r="H237" i="1"/>
  <c r="H238" i="1"/>
  <c r="H241" i="1"/>
  <c r="H242" i="1"/>
  <c r="H245" i="1"/>
  <c r="H248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304" i="1"/>
  <c r="H308" i="1"/>
  <c r="H312" i="1"/>
  <c r="H319" i="1"/>
  <c r="H320" i="1"/>
  <c r="H323" i="1"/>
  <c r="H324" i="1"/>
  <c r="H327" i="1"/>
  <c r="H330" i="1"/>
  <c r="H335" i="1"/>
  <c r="H336" i="1"/>
  <c r="H337" i="1"/>
  <c r="H338" i="1"/>
  <c r="H339" i="1"/>
  <c r="H340" i="1"/>
  <c r="H345" i="1"/>
  <c r="H508" i="1"/>
  <c r="H486" i="1"/>
  <c r="H385" i="1"/>
  <c r="H510" i="1"/>
  <c r="G517" i="1"/>
  <c r="H517" i="1"/>
  <c r="G533" i="1"/>
  <c r="H533" i="1"/>
  <c r="H540" i="1"/>
  <c r="H553" i="1"/>
  <c r="H567" i="1"/>
  <c r="G518" i="1"/>
  <c r="H518" i="1"/>
  <c r="G534" i="1"/>
  <c r="H534" i="1"/>
  <c r="H541" i="1"/>
  <c r="H554" i="1"/>
  <c r="H568" i="1"/>
  <c r="G521" i="1"/>
  <c r="H521" i="1"/>
  <c r="H545" i="1"/>
  <c r="H558" i="1"/>
  <c r="H571" i="1"/>
  <c r="H519" i="1"/>
  <c r="H520" i="1"/>
  <c r="G535" i="1"/>
  <c r="H535" i="1"/>
  <c r="G536" i="1"/>
  <c r="H536" i="1"/>
  <c r="G537" i="1"/>
  <c r="H537" i="1"/>
  <c r="H543" i="1"/>
  <c r="H544" i="1"/>
  <c r="H546" i="1"/>
  <c r="H556" i="1"/>
  <c r="H557" i="1"/>
  <c r="H559" i="1"/>
  <c r="H560" i="1"/>
  <c r="H561" i="1"/>
  <c r="H562" i="1"/>
  <c r="H563" i="1"/>
  <c r="H564" i="1"/>
  <c r="H565" i="1"/>
  <c r="H566" i="1"/>
  <c r="H569" i="1"/>
  <c r="H570" i="1"/>
  <c r="H572" i="1"/>
  <c r="H573" i="1"/>
  <c r="H596" i="1"/>
  <c r="H592" i="1"/>
  <c r="H581" i="1"/>
  <c r="H598" i="1"/>
  <c r="G699" i="1"/>
  <c r="H699" i="1"/>
  <c r="G715" i="1"/>
  <c r="H715" i="1"/>
  <c r="H725" i="1"/>
  <c r="H737" i="1"/>
  <c r="H749" i="1"/>
  <c r="G700" i="1"/>
  <c r="H700" i="1"/>
  <c r="G716" i="1"/>
  <c r="H716" i="1"/>
  <c r="H726" i="1"/>
  <c r="H738" i="1"/>
  <c r="H750" i="1"/>
  <c r="H701" i="1"/>
  <c r="G702" i="1"/>
  <c r="H702" i="1"/>
  <c r="G703" i="1"/>
  <c r="H703" i="1"/>
  <c r="H717" i="1"/>
  <c r="G718" i="1"/>
  <c r="H718" i="1"/>
  <c r="G719" i="1"/>
  <c r="H719" i="1"/>
  <c r="G720" i="1"/>
  <c r="H720" i="1"/>
  <c r="H728" i="1"/>
  <c r="H729" i="1"/>
  <c r="H730" i="1"/>
  <c r="H740" i="1"/>
  <c r="H741" i="1"/>
  <c r="H742" i="1"/>
  <c r="H743" i="1"/>
  <c r="H744" i="1"/>
  <c r="H745" i="1"/>
  <c r="H746" i="1"/>
  <c r="H747" i="1"/>
  <c r="H748" i="1"/>
  <c r="H752" i="1"/>
  <c r="H753" i="1"/>
  <c r="H754" i="1"/>
  <c r="H756" i="1"/>
  <c r="H778" i="1"/>
  <c r="H769" i="1"/>
  <c r="H761" i="1"/>
  <c r="H780" i="1"/>
  <c r="H604" i="1"/>
  <c r="H607" i="1"/>
  <c r="H611" i="1"/>
  <c r="H612" i="1"/>
  <c r="H635" i="1"/>
  <c r="H623" i="1"/>
  <c r="H617" i="1"/>
  <c r="H637" i="1"/>
  <c r="G642" i="1"/>
  <c r="H642" i="1"/>
  <c r="G647" i="1"/>
  <c r="H647" i="1"/>
  <c r="H652" i="1"/>
  <c r="H663" i="1"/>
  <c r="H675" i="1"/>
  <c r="H640" i="1"/>
  <c r="H641" i="1"/>
  <c r="H643" i="1"/>
  <c r="G644" i="1"/>
  <c r="H644" i="1"/>
  <c r="H648" i="1"/>
  <c r="H650" i="1"/>
  <c r="H653" i="1"/>
  <c r="H660" i="1"/>
  <c r="H665" i="1"/>
  <c r="H666" i="1"/>
  <c r="H667" i="1"/>
  <c r="H668" i="1"/>
  <c r="H669" i="1"/>
  <c r="H670" i="1"/>
  <c r="H671" i="1"/>
  <c r="H672" i="1"/>
  <c r="H677" i="1"/>
  <c r="H678" i="1"/>
  <c r="H691" i="1"/>
  <c r="H685" i="1"/>
  <c r="H681" i="1"/>
  <c r="H693" i="1"/>
  <c r="H795" i="1"/>
  <c r="H814" i="1"/>
  <c r="H846" i="1"/>
  <c r="H878" i="1"/>
  <c r="G782" i="1"/>
  <c r="H782" i="1"/>
  <c r="G783" i="1"/>
  <c r="H783" i="1"/>
  <c r="G784" i="1"/>
  <c r="H784" i="1"/>
  <c r="H785" i="1"/>
  <c r="G786" i="1"/>
  <c r="H786" i="1"/>
  <c r="H787" i="1"/>
  <c r="H788" i="1"/>
  <c r="G789" i="1"/>
  <c r="H789" i="1"/>
  <c r="H790" i="1"/>
  <c r="G791" i="1"/>
  <c r="H791" i="1"/>
  <c r="G792" i="1"/>
  <c r="H792" i="1"/>
  <c r="H793" i="1"/>
  <c r="G794" i="1"/>
  <c r="H794" i="1"/>
  <c r="H797" i="1"/>
  <c r="H799" i="1"/>
  <c r="H800" i="1"/>
  <c r="H801" i="1"/>
  <c r="H802" i="1"/>
  <c r="H803" i="1"/>
  <c r="H806" i="1"/>
  <c r="H807" i="1"/>
  <c r="H808" i="1"/>
  <c r="H809" i="1"/>
  <c r="H810" i="1"/>
  <c r="H811" i="1"/>
  <c r="H812" i="1"/>
  <c r="H831" i="1"/>
  <c r="H832" i="1"/>
  <c r="H833" i="1"/>
  <c r="H834" i="1"/>
  <c r="H835" i="1"/>
  <c r="H838" i="1"/>
  <c r="H839" i="1"/>
  <c r="H840" i="1"/>
  <c r="H841" i="1"/>
  <c r="H842" i="1"/>
  <c r="H843" i="1"/>
  <c r="H844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70" i="1"/>
  <c r="H871" i="1"/>
  <c r="H872" i="1"/>
  <c r="H873" i="1"/>
  <c r="H874" i="1"/>
  <c r="H875" i="1"/>
  <c r="H876" i="1"/>
  <c r="H879" i="1"/>
  <c r="H904" i="1"/>
  <c r="H894" i="1"/>
  <c r="H883" i="1"/>
  <c r="H906" i="1"/>
  <c r="H928" i="1"/>
  <c r="H939" i="1"/>
  <c r="H951" i="1"/>
  <c r="G914" i="1"/>
  <c r="H914" i="1"/>
  <c r="G915" i="1"/>
  <c r="H915" i="1"/>
  <c r="H916" i="1"/>
  <c r="H917" i="1"/>
  <c r="H918" i="1"/>
  <c r="H920" i="1"/>
  <c r="G921" i="1"/>
  <c r="H921" i="1"/>
  <c r="H923" i="1"/>
  <c r="H924" i="1"/>
  <c r="H926" i="1"/>
  <c r="H927" i="1"/>
  <c r="H934" i="1"/>
  <c r="H935" i="1"/>
  <c r="H937" i="1"/>
  <c r="H938" i="1"/>
  <c r="H940" i="1"/>
  <c r="H941" i="1"/>
  <c r="H942" i="1"/>
  <c r="H943" i="1"/>
  <c r="H944" i="1"/>
  <c r="H945" i="1"/>
  <c r="H946" i="1"/>
  <c r="H947" i="1"/>
  <c r="H949" i="1"/>
  <c r="H950" i="1"/>
  <c r="H952" i="1"/>
  <c r="H961" i="1"/>
  <c r="H958" i="1"/>
  <c r="H955" i="1"/>
  <c r="H963" i="1"/>
  <c r="H1006" i="1"/>
  <c r="G1010" i="1"/>
  <c r="H1010" i="1"/>
  <c r="H1013" i="1"/>
  <c r="H1019" i="1"/>
  <c r="H1026" i="1"/>
  <c r="G1007" i="1"/>
  <c r="H1007" i="1"/>
  <c r="H1012" i="1"/>
  <c r="H1014" i="1"/>
  <c r="H1015" i="1"/>
  <c r="H1020" i="1"/>
  <c r="H1021" i="1"/>
  <c r="H1022" i="1"/>
  <c r="H1023" i="1"/>
  <c r="H1024" i="1"/>
  <c r="H1025" i="1"/>
  <c r="H1027" i="1"/>
  <c r="H1028" i="1"/>
  <c r="H1029" i="1"/>
  <c r="H1132" i="1"/>
  <c r="H1082" i="1"/>
  <c r="H1041" i="1"/>
  <c r="H1134" i="1"/>
  <c r="G1143" i="1"/>
  <c r="H1143" i="1"/>
  <c r="H1149" i="1"/>
  <c r="H1156" i="1"/>
  <c r="H1163" i="1"/>
  <c r="H1136" i="1"/>
  <c r="H1137" i="1"/>
  <c r="G1142" i="1"/>
  <c r="H1142" i="1"/>
  <c r="G1144" i="1"/>
  <c r="H1144" i="1"/>
  <c r="H1145" i="1"/>
  <c r="H1146" i="1"/>
  <c r="H1147" i="1"/>
  <c r="H1148" i="1"/>
  <c r="H1150" i="1"/>
  <c r="H1151" i="1"/>
  <c r="H1155" i="1"/>
  <c r="H1157" i="1"/>
  <c r="H1158" i="1"/>
  <c r="H1159" i="1"/>
  <c r="H1160" i="1"/>
  <c r="H1161" i="1"/>
  <c r="H1162" i="1"/>
  <c r="H1164" i="1"/>
  <c r="H1165" i="1"/>
  <c r="H1166" i="1"/>
  <c r="H1198" i="1"/>
  <c r="H1186" i="1"/>
  <c r="H1178" i="1"/>
  <c r="H1200" i="1"/>
  <c r="G1265" i="1"/>
  <c r="H1265" i="1"/>
  <c r="H1267" i="1"/>
  <c r="H1268" i="1"/>
  <c r="H1271" i="1"/>
  <c r="H1274" i="1"/>
  <c r="H1276" i="1"/>
  <c r="H1269" i="1"/>
  <c r="H1270" i="1"/>
  <c r="H1273" i="1"/>
  <c r="H1275" i="1"/>
  <c r="H1277" i="1"/>
  <c r="H1294" i="1"/>
  <c r="H1289" i="1"/>
  <c r="H1284" i="1"/>
  <c r="H1296" i="1"/>
  <c r="H1328" i="1"/>
  <c r="H1330" i="1"/>
  <c r="H1317" i="1"/>
  <c r="H1319" i="1"/>
  <c r="H1311" i="1"/>
  <c r="H1313" i="1"/>
  <c r="H1261" i="1"/>
  <c r="H1258" i="1"/>
  <c r="H1246" i="1"/>
  <c r="H1247" i="1"/>
  <c r="H1248" i="1"/>
  <c r="H1263" i="1"/>
  <c r="H1241" i="1"/>
  <c r="H1237" i="1"/>
  <c r="H1229" i="1"/>
  <c r="G1202" i="1"/>
  <c r="H1202" i="1"/>
  <c r="H1203" i="1"/>
  <c r="H1205" i="1"/>
  <c r="G1206" i="1"/>
  <c r="H1206" i="1"/>
  <c r="G1207" i="1"/>
  <c r="H1207" i="1"/>
  <c r="H1208" i="1"/>
  <c r="H1209" i="1"/>
  <c r="H1212" i="1"/>
  <c r="H1213" i="1"/>
  <c r="H1214" i="1"/>
  <c r="H1215" i="1"/>
  <c r="H1216" i="1"/>
  <c r="H1217" i="1"/>
  <c r="H1218" i="1"/>
  <c r="H1243" i="1"/>
  <c r="H1002" i="1"/>
  <c r="H999" i="1"/>
  <c r="H995" i="1"/>
  <c r="H989" i="1"/>
  <c r="G965" i="1"/>
  <c r="H965" i="1"/>
  <c r="G967" i="1"/>
  <c r="H967" i="1"/>
  <c r="H968" i="1"/>
  <c r="G969" i="1"/>
  <c r="H969" i="1"/>
  <c r="H970" i="1"/>
  <c r="H971" i="1"/>
  <c r="H972" i="1"/>
  <c r="H975" i="1"/>
  <c r="H976" i="1"/>
  <c r="H977" i="1"/>
  <c r="H978" i="1"/>
  <c r="H979" i="1"/>
  <c r="H980" i="1"/>
  <c r="H981" i="1"/>
  <c r="H982" i="1"/>
  <c r="H983" i="1"/>
  <c r="H984" i="1"/>
  <c r="H1004" i="1"/>
  <c r="H910" i="1"/>
  <c r="H912" i="1"/>
  <c r="H1332" i="1"/>
  <c r="H1335" i="1"/>
  <c r="H15" i="1"/>
  <c r="H26" i="1"/>
  <c r="H1334" i="1"/>
  <c r="H1336" i="1"/>
  <c r="H1322" i="1"/>
  <c r="H1305" i="1"/>
  <c r="G74" i="1"/>
  <c r="G66" i="1"/>
  <c r="G68" i="1"/>
  <c r="G69" i="1"/>
  <c r="G71" i="1"/>
  <c r="G59" i="1"/>
  <c r="G57" i="1"/>
  <c r="G52" i="1"/>
  <c r="G50" i="1"/>
  <c r="G785" i="1"/>
  <c r="G790" i="1"/>
  <c r="G1006" i="1"/>
  <c r="M1006" i="1"/>
  <c r="G797" i="1"/>
  <c r="G923" i="1"/>
  <c r="G143" i="1"/>
  <c r="G218" i="1"/>
  <c r="G298" i="1"/>
  <c r="G145" i="1"/>
  <c r="G220" i="1"/>
  <c r="G300" i="1"/>
  <c r="G147" i="1"/>
  <c r="G221" i="1"/>
  <c r="G302" i="1"/>
  <c r="G148" i="1"/>
  <c r="G222" i="1"/>
  <c r="G303" i="1"/>
  <c r="G149" i="1"/>
  <c r="G223" i="1"/>
  <c r="G304" i="1"/>
  <c r="G150" i="1"/>
  <c r="G224" i="1"/>
  <c r="G305" i="1"/>
  <c r="G152" i="1"/>
  <c r="G226" i="1"/>
  <c r="G307" i="1"/>
  <c r="G153" i="1"/>
  <c r="G227" i="1"/>
  <c r="G308" i="1"/>
  <c r="G155" i="1"/>
  <c r="G228" i="1"/>
  <c r="G310" i="1"/>
  <c r="G156" i="1"/>
  <c r="G229" i="1"/>
  <c r="G311" i="1"/>
  <c r="G157" i="1"/>
  <c r="G230" i="1"/>
  <c r="G312" i="1"/>
  <c r="G164" i="1"/>
  <c r="G237" i="1"/>
  <c r="G319" i="1"/>
  <c r="G165" i="1"/>
  <c r="G238" i="1"/>
  <c r="G320" i="1"/>
  <c r="G167" i="1"/>
  <c r="G240" i="1"/>
  <c r="G322" i="1"/>
  <c r="G168" i="1"/>
  <c r="G241" i="1"/>
  <c r="G323" i="1"/>
  <c r="G171" i="1"/>
  <c r="G244" i="1"/>
  <c r="G326" i="1"/>
  <c r="G172" i="1"/>
  <c r="G245" i="1"/>
  <c r="G327" i="1"/>
  <c r="G174" i="1"/>
  <c r="G247" i="1"/>
  <c r="G329" i="1"/>
  <c r="G175" i="1"/>
  <c r="G248" i="1"/>
  <c r="G330" i="1"/>
  <c r="G182" i="1"/>
  <c r="G255" i="1"/>
  <c r="G337" i="1"/>
  <c r="G183" i="1"/>
  <c r="G256" i="1"/>
  <c r="G338" i="1"/>
  <c r="G184" i="1"/>
  <c r="G257" i="1"/>
  <c r="G339" i="1"/>
  <c r="G185" i="1"/>
  <c r="G258" i="1"/>
  <c r="G340" i="1"/>
  <c r="G187" i="1"/>
  <c r="G259" i="1"/>
  <c r="G178" i="1"/>
  <c r="G170" i="1"/>
  <c r="G180" i="1"/>
  <c r="G253" i="1"/>
  <c r="G335" i="1"/>
  <c r="G181" i="1"/>
  <c r="G254" i="1"/>
  <c r="G336" i="1"/>
  <c r="G144" i="1"/>
  <c r="G179" i="1"/>
  <c r="G252" i="1"/>
  <c r="G334" i="1"/>
  <c r="G176" i="1"/>
  <c r="G249" i="1"/>
  <c r="G331" i="1"/>
  <c r="G169" i="1"/>
  <c r="G177" i="1"/>
  <c r="G242" i="1"/>
  <c r="G324" i="1"/>
  <c r="G345" i="1"/>
  <c r="G540" i="1"/>
  <c r="G553" i="1"/>
  <c r="G567" i="1"/>
  <c r="G541" i="1"/>
  <c r="G554" i="1"/>
  <c r="G568" i="1"/>
  <c r="G543" i="1"/>
  <c r="G556" i="1"/>
  <c r="G569" i="1"/>
  <c r="G544" i="1"/>
  <c r="G557" i="1"/>
  <c r="G570" i="1"/>
  <c r="G545" i="1"/>
  <c r="G558" i="1"/>
  <c r="G571" i="1"/>
  <c r="G546" i="1"/>
  <c r="G559" i="1"/>
  <c r="G572" i="1"/>
  <c r="G573" i="1"/>
  <c r="G604" i="1"/>
  <c r="G607" i="1"/>
  <c r="G611" i="1"/>
  <c r="G612" i="1"/>
  <c r="G650" i="1"/>
  <c r="G660" i="1"/>
  <c r="G672" i="1"/>
  <c r="G652" i="1"/>
  <c r="G663" i="1"/>
  <c r="G675" i="1"/>
  <c r="G653" i="1"/>
  <c r="G665" i="1"/>
  <c r="G677" i="1"/>
  <c r="G678" i="1"/>
  <c r="G725" i="1"/>
  <c r="G737" i="1"/>
  <c r="G749" i="1"/>
  <c r="G726" i="1"/>
  <c r="G738" i="1"/>
  <c r="G750" i="1"/>
  <c r="G728" i="1"/>
  <c r="G740" i="1"/>
  <c r="G752" i="1"/>
  <c r="G729" i="1"/>
  <c r="G741" i="1"/>
  <c r="G753" i="1"/>
  <c r="G730" i="1"/>
  <c r="G742" i="1"/>
  <c r="G754" i="1"/>
  <c r="G756" i="1"/>
  <c r="G799" i="1"/>
  <c r="G831" i="1"/>
  <c r="G863" i="1"/>
  <c r="G801" i="1"/>
  <c r="G833" i="1"/>
  <c r="G865" i="1"/>
  <c r="G802" i="1"/>
  <c r="G834" i="1"/>
  <c r="G866" i="1"/>
  <c r="G803" i="1"/>
  <c r="G835" i="1"/>
  <c r="G867" i="1"/>
  <c r="G806" i="1"/>
  <c r="G838" i="1"/>
  <c r="G870" i="1"/>
  <c r="G807" i="1"/>
  <c r="G839" i="1"/>
  <c r="G871" i="1"/>
  <c r="G808" i="1"/>
  <c r="G840" i="1"/>
  <c r="G872" i="1"/>
  <c r="G809" i="1"/>
  <c r="G841" i="1"/>
  <c r="G873" i="1"/>
  <c r="G810" i="1"/>
  <c r="G842" i="1"/>
  <c r="G874" i="1"/>
  <c r="G811" i="1"/>
  <c r="G843" i="1"/>
  <c r="G875" i="1"/>
  <c r="G814" i="1"/>
  <c r="G846" i="1"/>
  <c r="G878" i="1"/>
  <c r="G800" i="1"/>
  <c r="G832" i="1"/>
  <c r="G864" i="1"/>
  <c r="G812" i="1"/>
  <c r="G844" i="1"/>
  <c r="G876" i="1"/>
  <c r="G879" i="1"/>
  <c r="G934" i="1"/>
  <c r="G946" i="1"/>
  <c r="G924" i="1"/>
  <c r="G935" i="1"/>
  <c r="G947" i="1"/>
  <c r="G926" i="1"/>
  <c r="G937" i="1"/>
  <c r="G949" i="1"/>
  <c r="G927" i="1"/>
  <c r="G938" i="1"/>
  <c r="G950" i="1"/>
  <c r="G928" i="1"/>
  <c r="G939" i="1"/>
  <c r="G951" i="1"/>
  <c r="G952" i="1"/>
  <c r="G970" i="1"/>
  <c r="G975" i="1"/>
  <c r="G981" i="1"/>
  <c r="G971" i="1"/>
  <c r="G976" i="1"/>
  <c r="G982" i="1"/>
  <c r="G972" i="1"/>
  <c r="G977" i="1"/>
  <c r="G983" i="1"/>
  <c r="G984" i="1"/>
  <c r="G1013" i="1"/>
  <c r="G1019" i="1"/>
  <c r="G1026" i="1"/>
  <c r="G1014" i="1"/>
  <c r="G1020" i="1"/>
  <c r="G1027" i="1"/>
  <c r="G1015" i="1"/>
  <c r="G1021" i="1"/>
  <c r="G1028" i="1"/>
  <c r="G1012" i="1"/>
  <c r="G1025" i="1"/>
  <c r="G1029" i="1"/>
  <c r="G1148" i="1"/>
  <c r="G1155" i="1"/>
  <c r="G1162" i="1"/>
  <c r="G1149" i="1"/>
  <c r="G1156" i="1"/>
  <c r="G1163" i="1"/>
  <c r="G1150" i="1"/>
  <c r="G1157" i="1"/>
  <c r="G1164" i="1"/>
  <c r="G1151" i="1"/>
  <c r="G1158" i="1"/>
  <c r="G1165" i="1"/>
  <c r="G1166" i="1"/>
  <c r="G1208" i="1"/>
  <c r="G1212" i="1"/>
  <c r="G1216" i="1"/>
  <c r="G1209" i="1"/>
  <c r="G1213" i="1"/>
  <c r="G1217" i="1"/>
  <c r="G1218" i="1"/>
  <c r="G1271" i="1"/>
  <c r="G1274" i="1"/>
  <c r="G1276" i="1"/>
  <c r="G1270" i="1"/>
  <c r="G1273" i="1"/>
  <c r="G1277" i="1"/>
  <c r="G1246" i="1"/>
  <c r="G1247" i="1"/>
  <c r="G1248" i="1"/>
  <c r="G1305" i="1"/>
  <c r="G691" i="1"/>
  <c r="G685" i="1"/>
  <c r="G681" i="1"/>
  <c r="G693" i="1"/>
  <c r="G1311" i="1"/>
  <c r="G486" i="1"/>
  <c r="G592" i="1"/>
  <c r="G623" i="1"/>
  <c r="G769" i="1"/>
  <c r="G894" i="1"/>
  <c r="G958" i="1"/>
  <c r="G995" i="1"/>
  <c r="G1082" i="1"/>
  <c r="G1186" i="1"/>
  <c r="G1237" i="1"/>
  <c r="G1261" i="1"/>
  <c r="G1289" i="1"/>
  <c r="G508" i="1"/>
  <c r="G596" i="1"/>
  <c r="G635" i="1"/>
  <c r="G778" i="1"/>
  <c r="G904" i="1"/>
  <c r="G961" i="1"/>
  <c r="G999" i="1"/>
  <c r="G1132" i="1"/>
  <c r="G1198" i="1"/>
  <c r="G1241" i="1"/>
  <c r="G1294" i="1"/>
  <c r="G385" i="1"/>
  <c r="G581" i="1"/>
  <c r="G617" i="1"/>
  <c r="G761" i="1"/>
  <c r="G883" i="1"/>
  <c r="G910" i="1"/>
  <c r="G955" i="1"/>
  <c r="G989" i="1"/>
  <c r="G1041" i="1"/>
  <c r="G1178" i="1"/>
  <c r="G1229" i="1"/>
  <c r="G1258" i="1"/>
  <c r="G1284" i="1"/>
  <c r="G1322" i="1"/>
  <c r="G1328" i="1"/>
  <c r="G1317" i="1"/>
  <c r="G1002" i="1"/>
  <c r="D573" i="1"/>
  <c r="G15" i="1"/>
  <c r="H13" i="4"/>
  <c r="F37" i="2"/>
  <c r="E37" i="2"/>
  <c r="D37" i="2"/>
  <c r="H8" i="4"/>
  <c r="F36" i="2"/>
  <c r="E36" i="2"/>
  <c r="D36" i="2"/>
  <c r="D16" i="4"/>
  <c r="E16" i="4"/>
  <c r="E15" i="4"/>
  <c r="E17" i="4"/>
  <c r="F16" i="4"/>
  <c r="G16" i="4"/>
  <c r="G15" i="4"/>
  <c r="G17" i="4"/>
  <c r="D15" i="4"/>
  <c r="F15" i="4"/>
  <c r="F17" i="4"/>
  <c r="H15" i="4"/>
  <c r="H16" i="4"/>
  <c r="H17" i="4"/>
  <c r="D17" i="4"/>
  <c r="H19" i="3"/>
  <c r="F33" i="2"/>
  <c r="E32" i="2"/>
  <c r="E33" i="2"/>
  <c r="D33" i="2"/>
  <c r="H11" i="3"/>
  <c r="F32" i="2"/>
  <c r="D32" i="2"/>
  <c r="E23" i="3"/>
  <c r="F23" i="3"/>
  <c r="G23" i="3"/>
  <c r="H21" i="3"/>
  <c r="H22" i="3"/>
  <c r="H23" i="3"/>
  <c r="D23" i="3"/>
  <c r="F1332" i="1"/>
  <c r="F1335" i="1"/>
  <c r="F1336" i="1"/>
  <c r="E27" i="2"/>
  <c r="D27" i="2"/>
  <c r="E26" i="2"/>
  <c r="D26" i="2"/>
  <c r="E25" i="2"/>
  <c r="D25" i="2"/>
  <c r="E24" i="2"/>
  <c r="D23" i="2"/>
  <c r="D24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D29" i="2"/>
  <c r="D1328" i="1"/>
  <c r="E1328" i="1"/>
  <c r="F1328" i="1"/>
  <c r="G1330" i="1"/>
  <c r="C1328" i="1"/>
  <c r="D1322" i="1"/>
  <c r="E1322" i="1"/>
  <c r="F1322" i="1"/>
  <c r="C1322" i="1"/>
  <c r="D1317" i="1"/>
  <c r="E1317" i="1"/>
  <c r="F1317" i="1"/>
  <c r="C1317" i="1"/>
  <c r="D1311" i="1"/>
  <c r="E1311" i="1"/>
  <c r="F1311" i="1"/>
  <c r="C1311" i="1"/>
  <c r="D1305" i="1"/>
  <c r="E1305" i="1"/>
  <c r="F1305" i="1"/>
  <c r="E23" i="2"/>
  <c r="E29" i="2"/>
  <c r="C1305" i="1"/>
  <c r="D1294" i="1"/>
  <c r="E1294" i="1"/>
  <c r="F1294" i="1"/>
  <c r="C1294" i="1"/>
  <c r="D1289" i="1"/>
  <c r="E1289" i="1"/>
  <c r="F1289" i="1"/>
  <c r="C1289" i="1"/>
  <c r="D1284" i="1"/>
  <c r="E1284" i="1"/>
  <c r="F1284" i="1"/>
  <c r="C1284" i="1"/>
  <c r="D1277" i="1"/>
  <c r="E1277" i="1"/>
  <c r="F1277" i="1"/>
  <c r="C1277" i="1"/>
  <c r="D1261" i="1"/>
  <c r="E1261" i="1"/>
  <c r="F1261" i="1"/>
  <c r="C1261" i="1"/>
  <c r="D1258" i="1"/>
  <c r="E1258" i="1"/>
  <c r="F1258" i="1"/>
  <c r="C1258" i="1"/>
  <c r="D1248" i="1"/>
  <c r="E1248" i="1"/>
  <c r="F1248" i="1"/>
  <c r="C1248" i="1"/>
  <c r="D1241" i="1"/>
  <c r="E1241" i="1"/>
  <c r="F1241" i="1"/>
  <c r="C1241" i="1"/>
  <c r="D1237" i="1"/>
  <c r="E1237" i="1"/>
  <c r="F1237" i="1"/>
  <c r="C1237" i="1"/>
  <c r="D1229" i="1"/>
  <c r="E1229" i="1"/>
  <c r="F1229" i="1"/>
  <c r="C1229" i="1"/>
  <c r="D1218" i="1"/>
  <c r="E1218" i="1"/>
  <c r="F1218" i="1"/>
  <c r="C1218" i="1"/>
  <c r="D1198" i="1"/>
  <c r="E1198" i="1"/>
  <c r="F1198" i="1"/>
  <c r="C1198" i="1"/>
  <c r="D1186" i="1"/>
  <c r="E1186" i="1"/>
  <c r="F1186" i="1"/>
  <c r="C1186" i="1"/>
  <c r="D1178" i="1"/>
  <c r="E1178" i="1"/>
  <c r="F1178" i="1"/>
  <c r="C1178" i="1"/>
  <c r="D1166" i="1"/>
  <c r="E1166" i="1"/>
  <c r="F1166" i="1"/>
  <c r="C1166" i="1"/>
  <c r="D1132" i="1"/>
  <c r="E1132" i="1"/>
  <c r="F1132" i="1"/>
  <c r="C1132" i="1"/>
  <c r="D1082" i="1"/>
  <c r="E1082" i="1"/>
  <c r="F1082" i="1"/>
  <c r="C1082" i="1"/>
  <c r="D1041" i="1"/>
  <c r="E1041" i="1"/>
  <c r="F1041" i="1"/>
  <c r="C1041" i="1"/>
  <c r="D1029" i="1"/>
  <c r="E1029" i="1"/>
  <c r="F1029" i="1"/>
  <c r="C1029" i="1"/>
  <c r="D995" i="1"/>
  <c r="E995" i="1"/>
  <c r="F995" i="1"/>
  <c r="C995" i="1"/>
  <c r="D1002" i="1"/>
  <c r="E1002" i="1"/>
  <c r="F1002" i="1"/>
  <c r="C1002" i="1"/>
  <c r="D999" i="1"/>
  <c r="E999" i="1"/>
  <c r="F999" i="1"/>
  <c r="C999" i="1"/>
  <c r="D989" i="1"/>
  <c r="E989" i="1"/>
  <c r="F989" i="1"/>
  <c r="C989" i="1"/>
  <c r="D984" i="1"/>
  <c r="E984" i="1"/>
  <c r="F984" i="1"/>
  <c r="C984" i="1"/>
  <c r="D961" i="1"/>
  <c r="E961" i="1"/>
  <c r="F961" i="1"/>
  <c r="C961" i="1"/>
  <c r="D958" i="1"/>
  <c r="E958" i="1"/>
  <c r="F958" i="1"/>
  <c r="C958" i="1"/>
  <c r="D955" i="1"/>
  <c r="E955" i="1"/>
  <c r="F955" i="1"/>
  <c r="C955" i="1"/>
  <c r="D952" i="1"/>
  <c r="E952" i="1"/>
  <c r="F952" i="1"/>
  <c r="C952" i="1"/>
  <c r="D910" i="1"/>
  <c r="E910" i="1"/>
  <c r="F910" i="1"/>
  <c r="G912" i="1"/>
  <c r="C910" i="1"/>
  <c r="D904" i="1"/>
  <c r="E904" i="1"/>
  <c r="F904" i="1"/>
  <c r="C904" i="1"/>
  <c r="D894" i="1"/>
  <c r="E894" i="1"/>
  <c r="F894" i="1"/>
  <c r="C894" i="1"/>
  <c r="D883" i="1"/>
  <c r="E883" i="1"/>
  <c r="F883" i="1"/>
  <c r="C883" i="1"/>
  <c r="D879" i="1"/>
  <c r="E879" i="1"/>
  <c r="F879" i="1"/>
  <c r="C879" i="1"/>
  <c r="D778" i="1"/>
  <c r="E778" i="1"/>
  <c r="F778" i="1"/>
  <c r="C778" i="1"/>
  <c r="D769" i="1"/>
  <c r="E769" i="1"/>
  <c r="F769" i="1"/>
  <c r="C769" i="1"/>
  <c r="D761" i="1"/>
  <c r="E761" i="1"/>
  <c r="F761" i="1"/>
  <c r="C761" i="1"/>
  <c r="D756" i="1"/>
  <c r="E756" i="1"/>
  <c r="F756" i="1"/>
  <c r="C756" i="1"/>
  <c r="D691" i="1"/>
  <c r="E691" i="1"/>
  <c r="F691" i="1"/>
  <c r="C691" i="1"/>
  <c r="D685" i="1"/>
  <c r="E685" i="1"/>
  <c r="F685" i="1"/>
  <c r="C685" i="1"/>
  <c r="D681" i="1"/>
  <c r="E681" i="1"/>
  <c r="F681" i="1"/>
  <c r="C681" i="1"/>
  <c r="D678" i="1"/>
  <c r="E678" i="1"/>
  <c r="F678" i="1"/>
  <c r="C678" i="1"/>
  <c r="D635" i="1"/>
  <c r="E635" i="1"/>
  <c r="F635" i="1"/>
  <c r="C635" i="1"/>
  <c r="D623" i="1"/>
  <c r="E623" i="1"/>
  <c r="F623" i="1"/>
  <c r="C623" i="1"/>
  <c r="D617" i="1"/>
  <c r="E617" i="1"/>
  <c r="F617" i="1"/>
  <c r="C617" i="1"/>
  <c r="D612" i="1"/>
  <c r="E612" i="1"/>
  <c r="F612" i="1"/>
  <c r="C612" i="1"/>
  <c r="D596" i="1"/>
  <c r="E596" i="1"/>
  <c r="F596" i="1"/>
  <c r="C596" i="1"/>
  <c r="D592" i="1"/>
  <c r="E592" i="1"/>
  <c r="F592" i="1"/>
  <c r="C592" i="1"/>
  <c r="D581" i="1"/>
  <c r="E581" i="1"/>
  <c r="F581" i="1"/>
  <c r="C581" i="1"/>
  <c r="E573" i="1"/>
  <c r="F573" i="1"/>
  <c r="C573" i="1"/>
  <c r="C486" i="1"/>
  <c r="E508" i="1"/>
  <c r="F508" i="1"/>
  <c r="D508" i="1"/>
  <c r="C508" i="1"/>
  <c r="D486" i="1"/>
  <c r="E486" i="1"/>
  <c r="F486" i="1"/>
  <c r="D385" i="1"/>
  <c r="E385" i="1"/>
  <c r="F385" i="1"/>
  <c r="C385" i="1"/>
  <c r="D345" i="1"/>
  <c r="E345" i="1"/>
  <c r="F345" i="1"/>
  <c r="C345" i="1"/>
  <c r="G26" i="1"/>
  <c r="G1319" i="1"/>
  <c r="G1313" i="1"/>
  <c r="G1334" i="1"/>
  <c r="G1263" i="1"/>
  <c r="G1296" i="1"/>
  <c r="G1243" i="1"/>
  <c r="G1200" i="1"/>
  <c r="G1134" i="1"/>
  <c r="G963" i="1"/>
  <c r="G1004" i="1"/>
  <c r="G906" i="1"/>
  <c r="G780" i="1"/>
  <c r="G598" i="1"/>
  <c r="G637" i="1"/>
  <c r="G510" i="1"/>
  <c r="G1332" i="1"/>
  <c r="G1335" i="1"/>
  <c r="G1336" i="1"/>
</calcChain>
</file>

<file path=xl/sharedStrings.xml><?xml version="1.0" encoding="utf-8"?>
<sst xmlns="http://schemas.openxmlformats.org/spreadsheetml/2006/main" count="3378" uniqueCount="1597">
  <si>
    <t/>
  </si>
  <si>
    <t>2015-16</t>
  </si>
  <si>
    <t>2016-17</t>
  </si>
  <si>
    <t>Fnd T Fn Obj  Sb Org F Pr L L2</t>
  </si>
  <si>
    <t>FY Activity</t>
  </si>
  <si>
    <t>Original Budget</t>
  </si>
  <si>
    <t>Revised Budget</t>
  </si>
  <si>
    <t>FYTD Activity</t>
  </si>
  <si>
    <t>199 R 00 5711 00 000 0 00 0 00</t>
  </si>
  <si>
    <t>TAXES, CURRENT YEAR</t>
  </si>
  <si>
    <t>199 R 00 5712 00 000 0 00 0 00</t>
  </si>
  <si>
    <t>TAXES, PRIOR YEAR</t>
  </si>
  <si>
    <t>199 R 00 5719 00 000 0 00 0 00</t>
  </si>
  <si>
    <t>OTHER TAX REVENUE</t>
  </si>
  <si>
    <t>199 R 00 5739 00 000 0 00 0 00</t>
  </si>
  <si>
    <t>TUITION AND FEES</t>
  </si>
  <si>
    <t>199 R 00 5739 22 000 0 00 0 00</t>
  </si>
  <si>
    <t>199 R 00 5742 00 000 0 00 0 00</t>
  </si>
  <si>
    <t>199 R 00 5743 00 000 0 00 0 00</t>
  </si>
  <si>
    <t>RENT</t>
  </si>
  <si>
    <t>199 R 00 5745 00 000 0 00 0 00</t>
  </si>
  <si>
    <t>INSURANCE RECOVERY</t>
  </si>
  <si>
    <t>199 R 00 5746 00 000 0 00 0 00</t>
  </si>
  <si>
    <t>TAX INCREMENT FUND</t>
  </si>
  <si>
    <t>199 R 00 5748 50 000 0 00 0 00</t>
  </si>
  <si>
    <t>199 R 00 5749 00 000 0 00 0 00</t>
  </si>
  <si>
    <t>OTHER REV.FROM LOCAL SOURCES</t>
  </si>
  <si>
    <t>199 R 00 5749 11 000 0 00 0 00</t>
  </si>
  <si>
    <t>199 R 00 5749 25 000 0 00 0 00</t>
  </si>
  <si>
    <t>199 R 00 5749 26 000 0 00 0 00</t>
  </si>
  <si>
    <t>199 R 00 5811 00 000 0 00 0 00</t>
  </si>
  <si>
    <t>PER CAPITA APPORTIONMENT</t>
  </si>
  <si>
    <t>199 R 00 5812 00 000 0 00 0 00</t>
  </si>
  <si>
    <t>FOUNDATION SCHOOL PROGRAM</t>
  </si>
  <si>
    <t>199 R 00 5820 00 000 0 00 0 00</t>
  </si>
  <si>
    <t>PRE-K FUNDING</t>
  </si>
  <si>
    <t>199 R 00 5828 00 000 0 00 0 00</t>
  </si>
  <si>
    <t>Pre-K Funding</t>
  </si>
  <si>
    <t>199 R 00 5829 00 000 0 00 0 00</t>
  </si>
  <si>
    <t>199 R 00 5831 00 000 0 00 0 00</t>
  </si>
  <si>
    <t>TRS ON-BEHALF PAYMENTS</t>
  </si>
  <si>
    <t>199 R 00 5929 00 000 0 00 0 00</t>
  </si>
  <si>
    <t>FED.REVENUE FROM TEA</t>
  </si>
  <si>
    <t>199 R 00 5939 00 000 0 00 0 00</t>
  </si>
  <si>
    <t>199 R 00 7912 00 000 0 00 0 00</t>
  </si>
  <si>
    <t>SALE OF PROPERTY</t>
  </si>
  <si>
    <t>199 R -- ---- -- --- - -- - --</t>
  </si>
  <si>
    <t>*Revenue</t>
  </si>
  <si>
    <t>199 E 11 6112 00 001 0 11 0 30</t>
  </si>
  <si>
    <t>SUBSTITUTE TEACHERS</t>
  </si>
  <si>
    <t>199 E 11 6112 00 001 0 22 0 30</t>
  </si>
  <si>
    <t>199 E 11 6112 00 001 0 23 0 30</t>
  </si>
  <si>
    <t>199 E 11 6112 00 001 0 24 0 30</t>
  </si>
  <si>
    <t>199 E 11 6112 00 001 0 26 0 30</t>
  </si>
  <si>
    <t>199 E 11 6112 00 041 0 11 0 50</t>
  </si>
  <si>
    <t>199 E 11 6112 00 041 0 23 0 50</t>
  </si>
  <si>
    <t>199 E 11 6112 00 041 0 24 0 50</t>
  </si>
  <si>
    <t>199 E 11 6112 00 106 0 11 0 80</t>
  </si>
  <si>
    <t>199 E 11 6112 00 106 0 23 0 80</t>
  </si>
  <si>
    <t>199 E 11 6112 00 106 0 25 0 80</t>
  </si>
  <si>
    <t>199 E 11 6112 00 106 0 32 0 80</t>
  </si>
  <si>
    <t>199 E 11 6112 00 109 0 11 0 70</t>
  </si>
  <si>
    <t>199 E 11 6112 00 109 0 23 0 70</t>
  </si>
  <si>
    <t>199 E 11 6112 00 109 0 25 0 70</t>
  </si>
  <si>
    <t>199 E 11 6112 00 109 0 32 0 70</t>
  </si>
  <si>
    <t>199 E 11 6112 00 110 0 11 0 70</t>
  </si>
  <si>
    <t>199 E 11 6112 00 110 0 23 0 70</t>
  </si>
  <si>
    <t>199 E 11 6112 00 110 0 25 0 70</t>
  </si>
  <si>
    <t>199 E 11 6112 00 999 0 11 0 15</t>
  </si>
  <si>
    <t>199 E 11 6112 00 999 0 28 0 15</t>
  </si>
  <si>
    <t>199 E 11 6112 00 999 0 99 0 15</t>
  </si>
  <si>
    <t>199 E 11 6119 00 001 0 11 0 30</t>
  </si>
  <si>
    <t>PROFESSIONAL PERSONNEL</t>
  </si>
  <si>
    <t>199 E 11 6119 00 001 0 21 0 30</t>
  </si>
  <si>
    <t>199 E 11 6119 00 001 0 22 0 30</t>
  </si>
  <si>
    <t>199 E 11 6119 00 001 0 23 0 30</t>
  </si>
  <si>
    <t>199 E 11 6119 00 001 0 24 0 30</t>
  </si>
  <si>
    <t>199 E 11 6119 00 001 0 25 0 30</t>
  </si>
  <si>
    <t>199 E 11 6119 00 001 0 26 0 30</t>
  </si>
  <si>
    <t>199 E 11 6119 00 041 0 11 0 50</t>
  </si>
  <si>
    <t>199 E 11 6119 00 041 0 21 0 50</t>
  </si>
  <si>
    <t>199 E 11 6119 00 041 0 23 0 50</t>
  </si>
  <si>
    <t>199 E 11 6119 00 041 0 24 0 50</t>
  </si>
  <si>
    <t>199 E 11 6119 00 041 0 25 0 50</t>
  </si>
  <si>
    <t>199 E 11 6119 00 106 0 11 0 80</t>
  </si>
  <si>
    <t>199 E 11 6119 00 106 0 23 0 80</t>
  </si>
  <si>
    <t>199 E 11 6119 00 106 0 25 0 80</t>
  </si>
  <si>
    <t>199 E 11 6119 00 106 0 32 0 80</t>
  </si>
  <si>
    <t>199 E 11 6119 00 109 0 11 0 70</t>
  </si>
  <si>
    <t>199 E 11 6119 00 109 0 21 0 70</t>
  </si>
  <si>
    <t>199 E 11 6119 00 109 0 23 0 70</t>
  </si>
  <si>
    <t>199 E 11 6119 00 109 0 25 0 70</t>
  </si>
  <si>
    <t>199 E 11 6119 00 109 0 32 0 70</t>
  </si>
  <si>
    <t>199 E 11 6119 00 110 0 11 0 70</t>
  </si>
  <si>
    <t>199 E 11 6119 00 110 0 21 0 70</t>
  </si>
  <si>
    <t>199 E 11 6119 00 110 0 23 0 70</t>
  </si>
  <si>
    <t>199 E 11 6119 00 110 0 25 0 70</t>
  </si>
  <si>
    <t>199 E 11 6119 00 999 0 28 0 15</t>
  </si>
  <si>
    <t>199 E 11 6119 22 699 0 24 0 15</t>
  </si>
  <si>
    <t>199 E 11 6119 22 699 0 25 0 15</t>
  </si>
  <si>
    <t>199 E 11 6119 44 999 0 23 0 15</t>
  </si>
  <si>
    <t>199 E 11 6119 48 001 0 24 0 15</t>
  </si>
  <si>
    <t>199 E 11 6119 48 041 0 24 0 15</t>
  </si>
  <si>
    <t>199 E 11 6119 48 106 0 30 0 15</t>
  </si>
  <si>
    <t>199 E 11 6119 48 109 0 30 0 15</t>
  </si>
  <si>
    <t>199 E 11 6119 48 110 0 30 0 15</t>
  </si>
  <si>
    <t>199 E 11 6119 61 001 0 11 0 30</t>
  </si>
  <si>
    <t>199 E 11 6119 61 041 0 11 0 50</t>
  </si>
  <si>
    <t>199 E 11 6121 00 001 0 11 0 30</t>
  </si>
  <si>
    <t>EXTRA DUTY PAY/OVERTIME</t>
  </si>
  <si>
    <t>199 E 11 6121 00 001 0 23 0 30</t>
  </si>
  <si>
    <t>199 E 11 6121 00 041 0 11 0 50</t>
  </si>
  <si>
    <t>199 E 11 6121 00 041 0 23 0 50</t>
  </si>
  <si>
    <t>199 E 11 6121 00 106 0 11 0 80</t>
  </si>
  <si>
    <t>199 E 11 6121 00 106 0 23 0 80</t>
  </si>
  <si>
    <t>199 E 11 6121 00 106 0 30 0 80</t>
  </si>
  <si>
    <t>199 E 11 6121 00 106 0 32 0 80</t>
  </si>
  <si>
    <t>199 E 11 6121 00 109 0 11 0 70</t>
  </si>
  <si>
    <t>199 E 11 6121 00 109 0 23 0 70</t>
  </si>
  <si>
    <t>199 E 11 6121 00 109 0 32 0 70</t>
  </si>
  <si>
    <t>199 E 11 6121 00 110 0 11 0 70</t>
  </si>
  <si>
    <t>199 E 11 6121 00 110 0 23 0 70</t>
  </si>
  <si>
    <t>199 E 11 6121 00 999 0 28 0 15</t>
  </si>
  <si>
    <t>199 E 11 6121 05 001 0 11 0 30</t>
  </si>
  <si>
    <t>199 E 11 6121 05 041 0 11 0 50</t>
  </si>
  <si>
    <t>199 E 11 6127 00 001 0 11 0 30</t>
  </si>
  <si>
    <t>NON PROFESSIONAL SUBS</t>
  </si>
  <si>
    <t>199 E 11 6127 00 041 0 11 0 50</t>
  </si>
  <si>
    <t>199 E 11 6127 00 041 0 23 0 50</t>
  </si>
  <si>
    <t>199 E 11 6127 00 106 0 11 0 80</t>
  </si>
  <si>
    <t>199 E 11 6127 00 106 0 23 0 80</t>
  </si>
  <si>
    <t>199 E 11 6127 00 106 0 32 0 80</t>
  </si>
  <si>
    <t>199 E 11 6127 00 109 0 11 0 70</t>
  </si>
  <si>
    <t>199 E 11 6127 00 109 0 23 0 70</t>
  </si>
  <si>
    <t>199 E 11 6127 00 109 0 30 0 70</t>
  </si>
  <si>
    <t>199 E 11 6127 00 109 0 32 0 70</t>
  </si>
  <si>
    <t>199 E 11 6127 00 110 0 11 0 70</t>
  </si>
  <si>
    <t>199 E 11 6127 00 110 0 23 0 70</t>
  </si>
  <si>
    <t>199 E 11 6127 00 110 0 30 0 70</t>
  </si>
  <si>
    <t>199 E 11 6127 00 999 0 11 0 15</t>
  </si>
  <si>
    <t>199 E 11 6129 00 001 0 11 0 30</t>
  </si>
  <si>
    <t>SUPPORT PERSONNEL</t>
  </si>
  <si>
    <t>199 E 11 6129 00 001 0 23 0 30</t>
  </si>
  <si>
    <t>199 E 11 6129 00 041 0 11 0 50</t>
  </si>
  <si>
    <t>199 E 11 6129 00 041 0 23 0 50</t>
  </si>
  <si>
    <t>199 E 11 6129 00 106 0 11 0 80</t>
  </si>
  <si>
    <t>199 E 11 6129 00 106 0 23 0 80</t>
  </si>
  <si>
    <t>199 E 11 6129 00 106 0 30 0 80</t>
  </si>
  <si>
    <t>199 E 11 6129 00 106 0 32 0 80</t>
  </si>
  <si>
    <t>199 E 11 6129 00 109 0 11 0 70</t>
  </si>
  <si>
    <t>199 E 11 6129 00 109 0 23 0 70</t>
  </si>
  <si>
    <t>199 E 11 6129 00 109 0 30 0 70</t>
  </si>
  <si>
    <t>199 E 11 6129 00 109 0 32 0 70</t>
  </si>
  <si>
    <t>199 E 11 6129 00 110 0 11 0 70</t>
  </si>
  <si>
    <t>199 E 11 6129 00 110 0 23 0 70</t>
  </si>
  <si>
    <t>199 E 11 6129 00 999 0 28 0 15</t>
  </si>
  <si>
    <t>199 E 11 6129 22 699 0 24 0 15</t>
  </si>
  <si>
    <t>199 E 11 6129 22 699 0 25 0 15</t>
  </si>
  <si>
    <t>199 E 11 6129 61 001 0 11 0 30</t>
  </si>
  <si>
    <t>199 E 11 6137 00 001 0 11 0 30</t>
  </si>
  <si>
    <t>CELL PHONE STIPEND</t>
  </si>
  <si>
    <t>199 E 11 6138 00 001 0 23 0 15</t>
  </si>
  <si>
    <t>Car Allowances</t>
  </si>
  <si>
    <t>199 E 11 6138 00 041 0 23 0 15</t>
  </si>
  <si>
    <t>199 E 11 6138 00 106 0 23 0 15</t>
  </si>
  <si>
    <t>199 E 11 6138 00 109 0 23 0 15</t>
  </si>
  <si>
    <t>199 E 11 6138 00 110 0 23 0 15</t>
  </si>
  <si>
    <t>199 E 11 6138 58 001 0 22 0 15</t>
  </si>
  <si>
    <t>199 E 11 6139 00 001 0 11 0 30</t>
  </si>
  <si>
    <t>EMPLOYEE ALLOWANCES</t>
  </si>
  <si>
    <t>199 E 11 6139 00 106 0 11 0 80</t>
  </si>
  <si>
    <t>199 E 11 6141 00 001 0 11 0 30</t>
  </si>
  <si>
    <t>SOCIAL SECURITY/MEDICARE</t>
  </si>
  <si>
    <t>199 E 11 6141 00 001 0 21 0 30</t>
  </si>
  <si>
    <t>199 E 11 6141 00 001 0 22 0 30</t>
  </si>
  <si>
    <t>199 E 11 6141 00 001 0 23 0 15</t>
  </si>
  <si>
    <t>199 E 11 6141 00 001 0 23 0 30</t>
  </si>
  <si>
    <t>199 E 11 6141 00 001 0 24 0 30</t>
  </si>
  <si>
    <t>199 E 11 6141 00 001 0 25 0 30</t>
  </si>
  <si>
    <t>199 E 11 6141 00 001 0 26 0 30</t>
  </si>
  <si>
    <t>199 E 11 6141 00 041 0 11 0 15</t>
  </si>
  <si>
    <t>199 E 11 6141 00 041 0 11 0 50</t>
  </si>
  <si>
    <t>199 E 11 6141 00 041 0 21 0 50</t>
  </si>
  <si>
    <t>199 E 11 6141 00 041 0 23 0 15</t>
  </si>
  <si>
    <t>199 E 11 6141 00 041 0 23 0 50</t>
  </si>
  <si>
    <t>199 E 11 6141 00 041 0 24 0 50</t>
  </si>
  <si>
    <t>199 E 11 6141 00 041 0 25 0 50</t>
  </si>
  <si>
    <t>199 E 11 6141 00 106 0 11 0 80</t>
  </si>
  <si>
    <t>199 E 11 6141 00 106 0 23 0 15</t>
  </si>
  <si>
    <t>199 E 11 6141 00 106 0 23 0 80</t>
  </si>
  <si>
    <t>199 E 11 6141 00 106 0 25 0 80</t>
  </si>
  <si>
    <t>199 E 11 6141 00 106 0 30 0 80</t>
  </si>
  <si>
    <t>199 E 11 6141 00 106 0 32 0 80</t>
  </si>
  <si>
    <t>199 E 11 6141 00 109 0 11 0 70</t>
  </si>
  <si>
    <t>199 E 11 6141 00 109 0 21 0 70</t>
  </si>
  <si>
    <t>199 E 11 6141 00 109 0 23 0 15</t>
  </si>
  <si>
    <t>199 E 11 6141 00 109 0 23 0 70</t>
  </si>
  <si>
    <t>199 E 11 6141 00 109 0 25 0 70</t>
  </si>
  <si>
    <t>199 E 11 6141 00 109 0 30 0 70</t>
  </si>
  <si>
    <t>199 E 11 6141 00 109 0 32 0 70</t>
  </si>
  <si>
    <t>199 E 11 6141 00 110 0 11 0 70</t>
  </si>
  <si>
    <t>199 E 11 6141 00 110 0 21 0 70</t>
  </si>
  <si>
    <t>199 E 11 6141 00 110 0 23 0 15</t>
  </si>
  <si>
    <t>199 E 11 6141 00 110 0 23 0 70</t>
  </si>
  <si>
    <t>199 E 11 6141 00 110 0 25 0 70</t>
  </si>
  <si>
    <t>199 E 11 6141 00 110 0 30 0 70</t>
  </si>
  <si>
    <t>199 E 11 6141 00 999 0 11 0 15</t>
  </si>
  <si>
    <t>199 E 11 6141 00 999 0 28 0 15</t>
  </si>
  <si>
    <t>199 E 11 6141 00 999 0 99 0 15</t>
  </si>
  <si>
    <t>199 E 11 6141 05 001 0 11 0 30</t>
  </si>
  <si>
    <t>199 E 11 6141 05 041 0 11 0 50</t>
  </si>
  <si>
    <t>199 E 11 6141 22 699 0 24 0 15</t>
  </si>
  <si>
    <t>199 E 11 6141 22 699 0 25 0 15</t>
  </si>
  <si>
    <t>199 E 11 6141 44 999 0 23 0 15</t>
  </si>
  <si>
    <t>199 E 11 6141 48 001 0 24 0 15</t>
  </si>
  <si>
    <t>199 E 11 6141 58 001 0 22 0 15</t>
  </si>
  <si>
    <t>199 E 11 6141 61 001 0 11 0 30</t>
  </si>
  <si>
    <t>199 E 11 6142 00 001 0 11 0 30</t>
  </si>
  <si>
    <t>GROUP HEALTH &amp; LIFE INSURANCE</t>
  </si>
  <si>
    <t>199 E 11 6142 00 001 0 21 0 30</t>
  </si>
  <si>
    <t>199 E 11 6142 00 001 0 22 0 30</t>
  </si>
  <si>
    <t>199 E 11 6142 00 001 0 23 0 30</t>
  </si>
  <si>
    <t>199 E 11 6142 00 001 0 24 0 30</t>
  </si>
  <si>
    <t>199 E 11 6142 00 001 0 26 0 30</t>
  </si>
  <si>
    <t>199 E 11 6142 00 041 0 11 0 15</t>
  </si>
  <si>
    <t>199 E 11 6142 00 041 0 11 0 50</t>
  </si>
  <si>
    <t>199 E 11 6142 00 041 0 23 0 50</t>
  </si>
  <si>
    <t>199 E 11 6142 00 041 0 24 0 50</t>
  </si>
  <si>
    <t>199 E 11 6142 00 106 0 11 0 80</t>
  </si>
  <si>
    <t>199 E 11 6142 00 106 0 23 0 15</t>
  </si>
  <si>
    <t>199 E 11 6142 00 106 0 23 0 80</t>
  </si>
  <si>
    <t>199 E 11 6142 00 106 0 25 0 80</t>
  </si>
  <si>
    <t>199 E 11 6142 00 106 0 30 0 80</t>
  </si>
  <si>
    <t>199 E 11 6142 00 106 0 32 0 80</t>
  </si>
  <si>
    <t>199 E 11 6142 00 109 0 11 0 70</t>
  </si>
  <si>
    <t>199 E 11 6142 00 109 0 23 0 15</t>
  </si>
  <si>
    <t>199 E 11 6142 00 109 0 23 0 70</t>
  </si>
  <si>
    <t>199 E 11 6142 00 109 0 25 0 70</t>
  </si>
  <si>
    <t>199 E 11 6142 00 109 0 30 0 70</t>
  </si>
  <si>
    <t>199 E 11 6142 00 109 0 32 0 70</t>
  </si>
  <si>
    <t>199 E 11 6142 00 110 0 11 0 70</t>
  </si>
  <si>
    <t>199 E 11 6142 00 110 0 23 0 15</t>
  </si>
  <si>
    <t>199 E 11 6142 00 110 0 23 0 70</t>
  </si>
  <si>
    <t>199 E 11 6142 00 110 0 25 0 70</t>
  </si>
  <si>
    <t>199 E 11 6142 00 110 0 30 0 70</t>
  </si>
  <si>
    <t>199 E 11 6142 00 999 0 28 0 15</t>
  </si>
  <si>
    <t>199 E 11 6142 00 999 0 99 0 15</t>
  </si>
  <si>
    <t>199 E 11 6142 44 999 0 23 0 15</t>
  </si>
  <si>
    <t>199 E 11 6143 00 001 0 11 0 30</t>
  </si>
  <si>
    <t>WORKER'S COMPENSATION</t>
  </si>
  <si>
    <t>199 E 11 6143 00 001 0 21 0 30</t>
  </si>
  <si>
    <t>199 E 11 6143 00 001 0 22 0 30</t>
  </si>
  <si>
    <t>199 E 11 6143 00 001 0 23 0 30</t>
  </si>
  <si>
    <t>199 E 11 6143 00 001 0 24 0 30</t>
  </si>
  <si>
    <t>199 E 11 6143 00 001 0 25 0 30</t>
  </si>
  <si>
    <t>199 E 11 6143 00 001 0 26 0 30</t>
  </si>
  <si>
    <t>199 E 11 6143 00 041 0 11 0 15</t>
  </si>
  <si>
    <t>199 E 11 6143 00 041 0 11 0 50</t>
  </si>
  <si>
    <t>199 E 11 6143 00 041 0 21 0 50</t>
  </si>
  <si>
    <t>199 E 11 6143 00 041 0 23 0 50</t>
  </si>
  <si>
    <t>199 E 11 6143 00 041 0 24 0 50</t>
  </si>
  <si>
    <t>199 E 11 6143 00 041 0 25 0 50</t>
  </si>
  <si>
    <t>199 E 11 6143 00 106 0 11 0 80</t>
  </si>
  <si>
    <t>199 E 11 6143 00 106 0 23 0 15</t>
  </si>
  <si>
    <t>199 E 11 6143 00 106 0 23 0 80</t>
  </si>
  <si>
    <t>199 E 11 6143 00 106 0 25 0 80</t>
  </si>
  <si>
    <t>199 E 11 6143 00 106 0 30 0 80</t>
  </si>
  <si>
    <t>199 E 11 6143 00 106 0 32 0 80</t>
  </si>
  <si>
    <t>199 E 11 6143 00 109 0 11 0 70</t>
  </si>
  <si>
    <t>199 E 11 6143 00 109 0 21 0 70</t>
  </si>
  <si>
    <t>199 E 11 6143 00 109 0 23 0 15</t>
  </si>
  <si>
    <t>199 E 11 6143 00 109 0 23 0 70</t>
  </si>
  <si>
    <t>199 E 11 6143 00 109 0 25 0 70</t>
  </si>
  <si>
    <t>199 E 11 6143 00 109 0 30 0 70</t>
  </si>
  <si>
    <t>199 E 11 6143 00 109 0 32 0 70</t>
  </si>
  <si>
    <t>199 E 11 6143 00 110 0 11 0 70</t>
  </si>
  <si>
    <t>199 E 11 6143 00 110 0 21 0 70</t>
  </si>
  <si>
    <t>199 E 11 6143 00 110 0 23 0 15</t>
  </si>
  <si>
    <t>199 E 11 6143 00 110 0 23 0 70</t>
  </si>
  <si>
    <t>199 E 11 6143 00 110 0 25 0 70</t>
  </si>
  <si>
    <t>199 E 11 6143 00 110 0 30 0 70</t>
  </si>
  <si>
    <t>199 E 11 6143 00 999 0 11 0 15</t>
  </si>
  <si>
    <t>199 E 11 6143 00 999 0 28 0 15</t>
  </si>
  <si>
    <t>199 E 11 6143 00 999 0 99 0 15</t>
  </si>
  <si>
    <t>199 E 11 6143 05 001 0 11 0 30</t>
  </si>
  <si>
    <t>199 E 11 6143 05 041 0 11 0 50</t>
  </si>
  <si>
    <t>199 E 11 6143 22 699 0 24 0 15</t>
  </si>
  <si>
    <t>199 E 11 6143 22 699 0 25 0 15</t>
  </si>
  <si>
    <t>199 E 11 6143 44 999 0 23 0 15</t>
  </si>
  <si>
    <t>199 E 11 6143 48 001 0 24 0 15</t>
  </si>
  <si>
    <t>199 E 11 6143 61 001 0 11 0 30</t>
  </si>
  <si>
    <t>199 E 11 6144 00 001 0 11 0 30</t>
  </si>
  <si>
    <t>TRS ON-BEHALF</t>
  </si>
  <si>
    <t>199 E 11 6144 00 001 0 21 0 30</t>
  </si>
  <si>
    <t>199 E 11 6144 00 001 0 22 0 30</t>
  </si>
  <si>
    <t>199 E 11 6144 00 001 0 23 0 30</t>
  </si>
  <si>
    <t>199 E 11 6144 00 001 0 24 0 30</t>
  </si>
  <si>
    <t>199 E 11 6144 00 001 0 25 0 30</t>
  </si>
  <si>
    <t>199 E 11 6144 00 001 0 26 0 30</t>
  </si>
  <si>
    <t>199 E 11 6144 00 041 0 11 0 15</t>
  </si>
  <si>
    <t>199 E 11 6144 00 041 0 11 0 50</t>
  </si>
  <si>
    <t>199 E 11 6144 00 041 0 21 0 50</t>
  </si>
  <si>
    <t>199 E 11 6144 00 041 0 23 0 50</t>
  </si>
  <si>
    <t>199 E 11 6144 00 041 0 24 0 50</t>
  </si>
  <si>
    <t>199 E 11 6144 00 041 0 25 0 50</t>
  </si>
  <si>
    <t>199 E 11 6144 00 106 0 11 0 80</t>
  </si>
  <si>
    <t>199 E 11 6144 00 106 0 23 0 80</t>
  </si>
  <si>
    <t>199 E 11 6144 00 106 0 25 0 80</t>
  </si>
  <si>
    <t>199 E 11 6144 00 106 0 30 0 80</t>
  </si>
  <si>
    <t>199 E 11 6144 00 106 0 32 0 80</t>
  </si>
  <si>
    <t>199 E 11 6144 00 109 0 11 0 70</t>
  </si>
  <si>
    <t>199 E 11 6144 00 109 0 21 0 70</t>
  </si>
  <si>
    <t>199 E 11 6144 00 109 0 23 0 70</t>
  </si>
  <si>
    <t>199 E 11 6144 00 109 0 25 0 70</t>
  </si>
  <si>
    <t>199 E 11 6144 00 109 0 30 0 70</t>
  </si>
  <si>
    <t>199 E 11 6144 00 109 0 32 0 70</t>
  </si>
  <si>
    <t>199 E 11 6144 00 110 0 11 0 70</t>
  </si>
  <si>
    <t>199 E 11 6144 00 110 0 21 0 70</t>
  </si>
  <si>
    <t>199 E 11 6144 00 110 0 23 0 70</t>
  </si>
  <si>
    <t>199 E 11 6144 00 110 0 25 0 70</t>
  </si>
  <si>
    <t>199 E 11 6144 00 110 0 30 0 70</t>
  </si>
  <si>
    <t>199 E 11 6144 00 999 0 28 0 15</t>
  </si>
  <si>
    <t>199 E 11 6144 00 999 0 99 0 15</t>
  </si>
  <si>
    <t>199 E 11 6144 05 001 0 11 0 30</t>
  </si>
  <si>
    <t>199 E 11 6144 05 041 0 11 0 50</t>
  </si>
  <si>
    <t>199 E 11 6144 22 699 0 24 0 15</t>
  </si>
  <si>
    <t>199 E 11 6144 22 699 0 25 0 15</t>
  </si>
  <si>
    <t>199 E 11 6144 44 999 0 23 0 15</t>
  </si>
  <si>
    <t>199 E 11 6144 48 001 0 24 0 15</t>
  </si>
  <si>
    <t>199 E 11 6144 61 001 0 11 0 30</t>
  </si>
  <si>
    <t>199 E 11 6146 00 001 0 11 0 30</t>
  </si>
  <si>
    <t>TEACHER RETIREMENT/TRS CARE</t>
  </si>
  <si>
    <t>199 E 11 6146 00 001 0 21 0 30</t>
  </si>
  <si>
    <t>199 E 11 6146 00 001 0 22 0 30</t>
  </si>
  <si>
    <t>199 E 11 6146 00 001 0 23 0 15</t>
  </si>
  <si>
    <t>199 E 11 6146 00 001 0 23 0 30</t>
  </si>
  <si>
    <t>199 E 11 6146 00 001 0 24 0 30</t>
  </si>
  <si>
    <t>199 E 11 6146 00 001 0 25 0 30</t>
  </si>
  <si>
    <t>199 E 11 6146 00 001 0 26 0 30</t>
  </si>
  <si>
    <t>199 E 11 6146 00 041 0 11 0 15</t>
  </si>
  <si>
    <t>199 E 11 6146 00 041 0 11 0 50</t>
  </si>
  <si>
    <t>199 E 11 6146 00 041 0 21 0 50</t>
  </si>
  <si>
    <t>199 E 11 6146 00 041 0 23 0 15</t>
  </si>
  <si>
    <t>199 E 11 6146 00 041 0 23 0 50</t>
  </si>
  <si>
    <t>199 E 11 6146 00 041 0 24 0 50</t>
  </si>
  <si>
    <t>199 E 11 6146 00 041 0 25 0 50</t>
  </si>
  <si>
    <t>199 E 11 6146 00 106 0 11 0 80</t>
  </si>
  <si>
    <t>199 E 11 6146 00 106 0 23 0 15</t>
  </si>
  <si>
    <t>199 E 11 6146 00 106 0 23 0 80</t>
  </si>
  <si>
    <t>199 E 11 6146 00 106 0 25 0 80</t>
  </si>
  <si>
    <t>199 E 11 6146 00 106 0 30 0 80</t>
  </si>
  <si>
    <t>199 E 11 6146 00 106 0 32 0 80</t>
  </si>
  <si>
    <t>199 E 11 6146 00 109 0 11 0 70</t>
  </si>
  <si>
    <t>199 E 11 6146 00 109 0 21 0 70</t>
  </si>
  <si>
    <t>199 E 11 6146 00 109 0 23 0 15</t>
  </si>
  <si>
    <t>199 E 11 6146 00 109 0 23 0 70</t>
  </si>
  <si>
    <t>199 E 11 6146 00 109 0 25 0 70</t>
  </si>
  <si>
    <t>199 E 11 6146 00 109 0 30 0 70</t>
  </si>
  <si>
    <t>199 E 11 6146 00 109 0 32 0 70</t>
  </si>
  <si>
    <t>199 E 11 6146 00 110 0 11 0 70</t>
  </si>
  <si>
    <t>199 E 11 6146 00 110 0 21 0 70</t>
  </si>
  <si>
    <t>199 E 11 6146 00 110 0 23 0 15</t>
  </si>
  <si>
    <t>199 E 11 6146 00 110 0 23 0 70</t>
  </si>
  <si>
    <t>199 E 11 6146 00 110 0 25 0 70</t>
  </si>
  <si>
    <t>199 E 11 6146 00 110 0 30 0 70</t>
  </si>
  <si>
    <t>199 E 11 6146 00 999 0 11 0 15</t>
  </si>
  <si>
    <t>199 E 11 6146 00 999 0 28 0 15</t>
  </si>
  <si>
    <t>199 E 11 6146 00 999 0 99 0 15</t>
  </si>
  <si>
    <t>199 E 11 6146 05 001 0 11 0 30</t>
  </si>
  <si>
    <t>199 E 11 6146 05 041 0 11 0 50</t>
  </si>
  <si>
    <t>199 E 11 6146 22 699 0 24 0 15</t>
  </si>
  <si>
    <t>199 E 11 6146 22 699 0 25 0 15</t>
  </si>
  <si>
    <t>199 E 11 6146 44 999 0 23 0 15</t>
  </si>
  <si>
    <t>199 E 11 6146 48 001 0 24 0 15</t>
  </si>
  <si>
    <t>199 E 11 6146 58 001 0 22 0 15</t>
  </si>
  <si>
    <t>199 E 11 6146 61 001 0 11 0 30</t>
  </si>
  <si>
    <t>199 E 11 6146 61 041 0 11 0 50</t>
  </si>
  <si>
    <t>199 E 11 6149 00 999 0 11 0 15</t>
  </si>
  <si>
    <t>PERSONNEL BENEFITS</t>
  </si>
  <si>
    <t>199 E 11 6219 00 001 0 11 0 15</t>
  </si>
  <si>
    <t>PROFESSIONAL SERVICES</t>
  </si>
  <si>
    <t>199 E 11 6219 00 041 0 11 0 15</t>
  </si>
  <si>
    <t>199 E 11 6219 00 999 0 11 0 15</t>
  </si>
  <si>
    <t>199 E 11 6219 00 999 0 11 0 16</t>
  </si>
  <si>
    <t>199 E 11 6219 00 999 0 23 0 15</t>
  </si>
  <si>
    <t>199 E 11 6219 00 999 0 24 0 15</t>
  </si>
  <si>
    <t>199 E 11 6219 03 001 0 11 0 30</t>
  </si>
  <si>
    <t>199 E 11 6219 06 001 0 11 0 30</t>
  </si>
  <si>
    <t>199 E 11 6219 95 001 0 29 0 15</t>
  </si>
  <si>
    <t>199 E 11 6239 00 999 0 11 0 15</t>
  </si>
  <si>
    <t>E.S.C. SERVICES</t>
  </si>
  <si>
    <t>199 E 11 6239 00 999 0 21 0 15</t>
  </si>
  <si>
    <t>199 E 11 6239 00 999 0 24 0 15</t>
  </si>
  <si>
    <t>199 E 11 6239 00 999 0 25 0 15</t>
  </si>
  <si>
    <t>199 E 11 6249 00 001 0 22 0 30</t>
  </si>
  <si>
    <t>CONTRACTED MAINT. &amp; REPAIR</t>
  </si>
  <si>
    <t>199 E 11 6249 00 109 0 11 0 70</t>
  </si>
  <si>
    <t>199 E 11 6249 03 001 0 11 0 30</t>
  </si>
  <si>
    <t>199 E 11 6249 03 041 0 11 0 50</t>
  </si>
  <si>
    <t>199 E 11 6249 04 001 0 11 0 30</t>
  </si>
  <si>
    <t>199 E 11 6249 05 001 0 11 0 30</t>
  </si>
  <si>
    <t>199 E 11 6249 05 041 0 11 0 50</t>
  </si>
  <si>
    <t>199 E 11 6249 05 109 0 11 0 70</t>
  </si>
  <si>
    <t>199 E 11 6249 06 001 0 11 0 30</t>
  </si>
  <si>
    <t>199 E 11 6249 07 001 0 11 0 30</t>
  </si>
  <si>
    <t>199 E 11 6249 13 001 0 11 0 30</t>
  </si>
  <si>
    <t>199 E 11 6249 15 001 0 11 0 30</t>
  </si>
  <si>
    <t>199 E 11 6249 20 041 0 11 0 50</t>
  </si>
  <si>
    <t>199 E 11 6249 21 001 0 11 0 30</t>
  </si>
  <si>
    <t>199 E 11 6249 50 001 0 22 0 30</t>
  </si>
  <si>
    <t>199 E 11 6249 51 001 0 22 0 30</t>
  </si>
  <si>
    <t>199 E 11 6249 55 001 0 22 0 30</t>
  </si>
  <si>
    <t>199 E 11 6249 57 001 0 22 0 30</t>
  </si>
  <si>
    <t>199 E 11 6269 00 001 0 11 0 15</t>
  </si>
  <si>
    <t>RENTALS - OPERATING LEASES</t>
  </si>
  <si>
    <t>199 E 11 6269 00 041 0 11 0 15</t>
  </si>
  <si>
    <t>199 E 11 6269 00 106 0 11 0 15</t>
  </si>
  <si>
    <t>199 E 11 6269 00 109 0 11 0 15</t>
  </si>
  <si>
    <t>199 E 11 6269 00 110 0 11 0 15</t>
  </si>
  <si>
    <t>199 E 11 6269 00 999 0 11 0 15</t>
  </si>
  <si>
    <t>199 E 11 6311 00 999 0 11 0 90</t>
  </si>
  <si>
    <t>GASOLINE &amp; FUELS FOR VEHICLES</t>
  </si>
  <si>
    <t>199 E 11 6321 00 001 0 11 0 30</t>
  </si>
  <si>
    <t>TEXTBOOKS</t>
  </si>
  <si>
    <t>199 E 11 6321 00 041 0 11 0 50</t>
  </si>
  <si>
    <t>199 E 11 6321 00 109 0 11 0 70</t>
  </si>
  <si>
    <t>199 E 11 6321 00 110 0 11 0 70</t>
  </si>
  <si>
    <t>199 E 11 6329 00 109 0 11 0 70</t>
  </si>
  <si>
    <t>READING MATERIALS</t>
  </si>
  <si>
    <t>199 E 11 6329 00 110 0 11 0 70</t>
  </si>
  <si>
    <t>199 E 11 6329 13 001 0 11 0 30</t>
  </si>
  <si>
    <t>199 E 11 6329 20 041 0 11 0 50</t>
  </si>
  <si>
    <t>199 E 11 6329 21 041 0 11 0 50</t>
  </si>
  <si>
    <t>199 E 11 6396 00 001 0 11 0 30</t>
  </si>
  <si>
    <t>CAPITAL OUTLAY LESS THAN 5,000</t>
  </si>
  <si>
    <t>199 E 11 6396 00 106 0 11 0 80</t>
  </si>
  <si>
    <t>199 E 11 6396 00 999 0 11 0 20</t>
  </si>
  <si>
    <t>199 E 11 6396 76 999 0 11 0 15</t>
  </si>
  <si>
    <t>199 E 11 6399 00 001 0 11 0 30</t>
  </si>
  <si>
    <t>GENERAL SUPPLIES</t>
  </si>
  <si>
    <t>199 E 11 6399 00 001 0 21 0 30</t>
  </si>
  <si>
    <t>199 E 11 6399 00 001 0 22 0 30</t>
  </si>
  <si>
    <t>199 E 11 6399 00 001 0 25 0 30</t>
  </si>
  <si>
    <t>199 E 11 6399 00 001 0 28 0 30</t>
  </si>
  <si>
    <t>199 E 11 6399 00 041 0 11 0 50</t>
  </si>
  <si>
    <t>199 E 11 6399 00 041 0 21 0 50</t>
  </si>
  <si>
    <t>199 E 11 6399 00 041 0 25 0 50</t>
  </si>
  <si>
    <t>199 E 11 6399 00 106 0 25 0 80</t>
  </si>
  <si>
    <t>199 E 11 6399 00 106 0 30 0 80</t>
  </si>
  <si>
    <t>199 E 11 6399 00 109 0 11 0 70</t>
  </si>
  <si>
    <t>199 E 11 6399 00 109 0 21 0 70</t>
  </si>
  <si>
    <t>199 E 11 6399 00 109 0 25 0 70</t>
  </si>
  <si>
    <t>199 E 11 6399 00 109 0 32 0 73</t>
  </si>
  <si>
    <t>199 E 11 6399 00 110 0 11 0 70</t>
  </si>
  <si>
    <t>199 E 11 6399 00 110 0 21 0 70</t>
  </si>
  <si>
    <t>199 E 11 6399 00 110 0 25 0 70</t>
  </si>
  <si>
    <t>199 E 11 6399 00 999 0 11 0 15</t>
  </si>
  <si>
    <t>199 E 11 6399 00 999 0 11 0 16</t>
  </si>
  <si>
    <t>199 E 11 6399 00 999 0 11 0 99</t>
  </si>
  <si>
    <t>199 E 11 6399 00 999 0 23 0 15</t>
  </si>
  <si>
    <t>199 E 11 6399 00 999 0 24 0 15</t>
  </si>
  <si>
    <t>199 E 11 6399 00 999 0 25 0 15</t>
  </si>
  <si>
    <t>199 E 11 6399 00 999 0 28 0 15</t>
  </si>
  <si>
    <t>199 E 11 6399 01 001 0 22 0 30</t>
  </si>
  <si>
    <t>199 E 11 6399 01 041 0 24 0 50</t>
  </si>
  <si>
    <t>199 E 11 6399 02 001 0 11 0 30</t>
  </si>
  <si>
    <t>199 E 11 6399 02 041 0 11 0 50</t>
  </si>
  <si>
    <t>199 E 11 6399 02 109 0 11 0 70</t>
  </si>
  <si>
    <t>199 E 11 6399 02 110 0 11 0 70</t>
  </si>
  <si>
    <t>199 E 11 6399 03 001 0 11 0 30</t>
  </si>
  <si>
    <t>199 E 11 6399 03 041 0 11 0 50</t>
  </si>
  <si>
    <t>199 E 11 6399 04 001 0 11 0 30</t>
  </si>
  <si>
    <t>199 E 11 6399 05 001 0 11 0 30</t>
  </si>
  <si>
    <t>199 E 11 6399 05 041 0 11 0 50</t>
  </si>
  <si>
    <t>199 E 11 6399 05 109 0 11 0 70</t>
  </si>
  <si>
    <t>199 E 11 6399 05 110 0 11 0 70</t>
  </si>
  <si>
    <t>199 E 11 6399 06 001 0 11 0 30</t>
  </si>
  <si>
    <t>199 E 11 6399 06 041 0 11 0 50</t>
  </si>
  <si>
    <t>199 E 11 6399 07 001 0 11 0 30</t>
  </si>
  <si>
    <t>199 E 11 6399 09 001 0 11 0 30</t>
  </si>
  <si>
    <t>199 E 11 6399 10 109 0 11 0 70</t>
  </si>
  <si>
    <t>199 E 11 6399 10 110 0 11 0 70</t>
  </si>
  <si>
    <t>199 E 11 6399 11 001 0 11 0 30</t>
  </si>
  <si>
    <t>199 E 11 6399 12 001 0 11 0 30</t>
  </si>
  <si>
    <t>199 E 11 6399 12 041 0 11 0 50</t>
  </si>
  <si>
    <t>199 E 11 6399 13 001 0 11 0 30</t>
  </si>
  <si>
    <t>199 E 11 6399 14 001 0 11 0 30</t>
  </si>
  <si>
    <t>199 E 11 6399 15 001 0 11 0 30</t>
  </si>
  <si>
    <t>199 E 11 6399 15 041 0 11 0 50</t>
  </si>
  <si>
    <t>199 E 11 6399 16 001 0 11 0 30</t>
  </si>
  <si>
    <t>199 E 11 6399 16 041 0 11 0 50</t>
  </si>
  <si>
    <t>199 E 11 6399 16 109 0 11 0 70</t>
  </si>
  <si>
    <t>199 E 11 6399 16 110 0 11 0 70</t>
  </si>
  <si>
    <t>199 E 11 6399 18 001 0 11 0 30</t>
  </si>
  <si>
    <t>199 E 11 6399 18 041 0 11 0 50</t>
  </si>
  <si>
    <t>199 E 11 6399 20 001 0 11 0 30</t>
  </si>
  <si>
    <t>199 E 11 6399 20 041 0 11 0 50</t>
  </si>
  <si>
    <t>199 E 11 6399 21 001 0 11 0 30</t>
  </si>
  <si>
    <t>199 E 11 6399 21 041 0 11 0 50</t>
  </si>
  <si>
    <t>199 E 11 6399 22 699 0 24 0 15</t>
  </si>
  <si>
    <t>199 E 11 6399 23 041 0 11 0 50</t>
  </si>
  <si>
    <t>199 E 11 6399 24 001 0 24 0 30</t>
  </si>
  <si>
    <t>199 E 11 6399 24 041 0 24 0 50</t>
  </si>
  <si>
    <t>199 E 11 6399 24 109 0 24 0 70</t>
  </si>
  <si>
    <t>199 E 11 6399 24 110 0 24 0 70</t>
  </si>
  <si>
    <t>199 E 11 6399 24 999 0 24 0 15</t>
  </si>
  <si>
    <t>199 E 11 6399 30 109 0 11 0 70</t>
  </si>
  <si>
    <t>199 E 11 6399 30 999 0 11 0 15</t>
  </si>
  <si>
    <t>199 E 11 6399 43 999 0 23 0 15</t>
  </si>
  <si>
    <t>199 E 11 6399 49 041 0 11 0 50</t>
  </si>
  <si>
    <t>199 E 11 6399 50 001 0 22 0 30</t>
  </si>
  <si>
    <t>199 E 11 6399 51 001 0 22 0 30</t>
  </si>
  <si>
    <t>199 E 11 6399 52 001 0 22 0 30</t>
  </si>
  <si>
    <t>199 E 11 6399 53 001 0 22 0 30</t>
  </si>
  <si>
    <t>199 E 11 6399 54 001 0 22 0 30</t>
  </si>
  <si>
    <t>199 E 11 6399 55 001 0 22 0 30</t>
  </si>
  <si>
    <t>199 E 11 6399 56 001 0 22 0 30</t>
  </si>
  <si>
    <t>199 E 11 6399 57 001 0 22 0 30</t>
  </si>
  <si>
    <t>199 E 11 6399 58 001 0 22 0 30</t>
  </si>
  <si>
    <t>199 E 11 6399 59 001 0 22 0 30</t>
  </si>
  <si>
    <t>199 E 11 6399 60 001 0 22 0 30</t>
  </si>
  <si>
    <t>199 E 11 6399 62 001 0 22 0 30</t>
  </si>
  <si>
    <t>199 E 11 6399 71 041 0 11 0 50</t>
  </si>
  <si>
    <t>199 E 11 6399 93 001 0 11 0 30</t>
  </si>
  <si>
    <t>199 E 11 6411 00 999 0 11 0 16</t>
  </si>
  <si>
    <t>TRAVEL - EMPLOYEE ONLY</t>
  </si>
  <si>
    <t>199 E 11 6411 24 001 0 24 0 30</t>
  </si>
  <si>
    <t>199 E 11 6411 24 041 0 24 0 50</t>
  </si>
  <si>
    <t>199 E 11 6411 24 109 0 24 0 70</t>
  </si>
  <si>
    <t>199 E 11 6411 24 110 0 24 0 70</t>
  </si>
  <si>
    <t>199 E 11 6411 44 999 0 23 0 15</t>
  </si>
  <si>
    <t>199 E 11 6411 48 001 0 24 0 15</t>
  </si>
  <si>
    <t>199 E 11 6411 48 041 0 24 0 15</t>
  </si>
  <si>
    <t>199 E 11 6411 48 109 0 30 0 15</t>
  </si>
  <si>
    <t>199 E 11 6411 48 110 0 30 0 15</t>
  </si>
  <si>
    <t>199 E 11 6412 00 001 0 22 0 30</t>
  </si>
  <si>
    <t>TRAVEL - STUDENTS.</t>
  </si>
  <si>
    <t>199 E 11 6412 00 041 0 11 0 50</t>
  </si>
  <si>
    <t>199 E 11 6412 00 999 0 23 0 15</t>
  </si>
  <si>
    <t>199 E 11 6412 10 001 0 21 0 30</t>
  </si>
  <si>
    <t>199 E 11 6412 10 041 0 21 0 50</t>
  </si>
  <si>
    <t>199 E 11 6412 10 109 0 21 0 70</t>
  </si>
  <si>
    <t>199 E 11 6412 10 110 0 21 0 70</t>
  </si>
  <si>
    <t>199 E 11 6412 20 001 0 11 0 30</t>
  </si>
  <si>
    <t>199 E 11 6499 00 999 0 11 0 15</t>
  </si>
  <si>
    <t>MISC.OPERATING COSTS</t>
  </si>
  <si>
    <t>199 E 11 6499 00 999 0 23 0 15</t>
  </si>
  <si>
    <t>FURNITURE &amp; EQUIPMENT</t>
  </si>
  <si>
    <t>199 E 11 ---- -- --- - -- - --</t>
  </si>
  <si>
    <t>199 E 12 6112 00 001 0 99 0 30</t>
  </si>
  <si>
    <t>199 E 12 6112 00 041 0 99 0 50</t>
  </si>
  <si>
    <t>199 E 12 6112 00 109 0 99 0 70</t>
  </si>
  <si>
    <t>199 E 12 6112 00 110 0 99 0 70</t>
  </si>
  <si>
    <t>199 E 12 6119 00 001 0 99 0 30</t>
  </si>
  <si>
    <t>199 E 12 6119 00 041 0 99 0 50</t>
  </si>
  <si>
    <t>199 E 12 6119 00 109 0 99 0 70</t>
  </si>
  <si>
    <t>199 E 12 6119 00 110 0 99 0 70</t>
  </si>
  <si>
    <t>199 E 12 6119 00 999 0 99 0 15</t>
  </si>
  <si>
    <t>199 E 12 6121 00 001 0 99 0 30</t>
  </si>
  <si>
    <t>199 E 12 6121 00 041 0 99 0 50</t>
  </si>
  <si>
    <t>199 E 12 6121 00 109 0 99 0 70</t>
  </si>
  <si>
    <t>199 E 12 6121 00 110 0 99 0 70</t>
  </si>
  <si>
    <t>199 E 12 6121 00 999 0 99 0 15</t>
  </si>
  <si>
    <t>199 E 12 6121 00 999 0 99 0 50</t>
  </si>
  <si>
    <t>199 E 12 6127 00 001 0 99 0 30</t>
  </si>
  <si>
    <t>199 E 12 6127 00 041 0 99 0 50</t>
  </si>
  <si>
    <t>199 E 12 6127 00 106 0 99 0 80</t>
  </si>
  <si>
    <t>199 E 12 6127 00 109 0 99 0 70</t>
  </si>
  <si>
    <t>199 E 12 6127 00 110 0 99 0 70</t>
  </si>
  <si>
    <t>199 E 12 6129 00 001 0 99 0 30</t>
  </si>
  <si>
    <t>199 E 12 6129 00 041 0 99 0 50</t>
  </si>
  <si>
    <t>199 E 12 6129 00 109 0 99 0 70</t>
  </si>
  <si>
    <t>199 E 12 6129 00 110 0 99 0 70</t>
  </si>
  <si>
    <t>199 E 12 6129 00 999 0 99 0 50</t>
  </si>
  <si>
    <t>199 E 12 6137 00 999 0 99 0 15</t>
  </si>
  <si>
    <t>199 E 12 6138 00 999 0 99 0 15</t>
  </si>
  <si>
    <t>199 E 12 6141 00 001 0 99 0 30</t>
  </si>
  <si>
    <t>199 E 12 6141 00 041 0 99 0 50</t>
  </si>
  <si>
    <t>199 E 12 6141 00 106 0 99 0 80</t>
  </si>
  <si>
    <t>199 E 12 6141 00 109 0 99 0 70</t>
  </si>
  <si>
    <t>199 E 12 6141 00 110 0 99 0 70</t>
  </si>
  <si>
    <t>199 E 12 6141 00 999 0 99 0 15</t>
  </si>
  <si>
    <t>199 E 12 6141 00 999 0 99 0 50</t>
  </si>
  <si>
    <t>199 E 12 6142 00 001 0 99 0 30</t>
  </si>
  <si>
    <t>199 E 12 6142 00 041 0 99 0 50</t>
  </si>
  <si>
    <t>199 E 12 6142 00 109 0 99 0 70</t>
  </si>
  <si>
    <t>199 E 12 6142 00 110 0 99 0 70</t>
  </si>
  <si>
    <t>199 E 12 6142 00 999 0 99 0 15</t>
  </si>
  <si>
    <t>199 E 12 6142 00 999 0 99 0 50</t>
  </si>
  <si>
    <t>199 E 12 6143 00 001 0 99 0 30</t>
  </si>
  <si>
    <t>199 E 12 6143 00 041 0 99 0 50</t>
  </si>
  <si>
    <t>199 E 12 6143 00 106 0 99 0 80</t>
  </si>
  <si>
    <t>199 E 12 6143 00 109 0 99 0 70</t>
  </si>
  <si>
    <t>199 E 12 6143 00 110 0 99 0 70</t>
  </si>
  <si>
    <t>199 E 12 6143 00 999 0 99 0 15</t>
  </si>
  <si>
    <t>199 E 12 6143 00 999 0 99 0 50</t>
  </si>
  <si>
    <t>199 E 12 6144 00 001 0 99 0 30</t>
  </si>
  <si>
    <t>199 E 12 6144 00 041 0 99 0 50</t>
  </si>
  <si>
    <t>199 E 12 6144 00 106 0 99 0 80</t>
  </si>
  <si>
    <t>199 E 12 6144 00 109 0 99 0 70</t>
  </si>
  <si>
    <t>199 E 12 6144 00 110 0 99 0 70</t>
  </si>
  <si>
    <t>199 E 12 6144 00 999 0 99 0 15</t>
  </si>
  <si>
    <t>199 E 12 6144 00 999 0 99 0 50</t>
  </si>
  <si>
    <t>199 E 12 6146 00 001 0 99 0 30</t>
  </si>
  <si>
    <t>199 E 12 6146 00 041 0 99 0 50</t>
  </si>
  <si>
    <t>199 E 12 6146 00 109 0 99 0 70</t>
  </si>
  <si>
    <t>199 E 12 6146 00 110 0 99 0 70</t>
  </si>
  <si>
    <t>199 E 12 6146 00 999 0 99 0 15</t>
  </si>
  <si>
    <t>199 E 12 6146 00 999 0 99 0 50</t>
  </si>
  <si>
    <t>199 E 12 6219 00 999 0 11 0 15</t>
  </si>
  <si>
    <t>199 E 12 6239 00 999 0 11 0 15</t>
  </si>
  <si>
    <t>199 E 12 6249 00 001 0 99 0 30</t>
  </si>
  <si>
    <t>199 E 12 6249 00 109 0 99 0 70</t>
  </si>
  <si>
    <t>199 E 12 6249 00 999 0 11 0 15</t>
  </si>
  <si>
    <t>199 E 12 6329 00 001 0 99 0 30</t>
  </si>
  <si>
    <t>199 E 12 6329 00 041 0 99 0 50</t>
  </si>
  <si>
    <t>199 E 12 6329 00 109 0 99 0 70</t>
  </si>
  <si>
    <t>199 E 12 6329 00 110 0 99 0 70</t>
  </si>
  <si>
    <t>199 E 12 6399 00 041 0 99 0 50</t>
  </si>
  <si>
    <t>199 E 12 6399 00 109 0 99 0 70</t>
  </si>
  <si>
    <t>199 E 12 6399 00 110 0 99 0 70</t>
  </si>
  <si>
    <t>199 E 12 6399 00 999 0 11 0 15</t>
  </si>
  <si>
    <t>199 E 12 6399 93 001 0 99 0 30</t>
  </si>
  <si>
    <t>199 E 12 6411 00 110 0 99 0 70</t>
  </si>
  <si>
    <t>199 E 12 6411 93 041 0 99 0 50</t>
  </si>
  <si>
    <t>199 E 12 ---- -- --- - -- - --</t>
  </si>
  <si>
    <t>199 E 13 6119 00 999 0 99 0 15</t>
  </si>
  <si>
    <t>199 E 13 6121 00 999 0 99 0 15</t>
  </si>
  <si>
    <t>199 E 13 6141 00 801 0 99 0 15</t>
  </si>
  <si>
    <t>199 E 13 6141 00 999 0 99 0 15</t>
  </si>
  <si>
    <t>199 E 13 6142 00 801 0 99 0 15</t>
  </si>
  <si>
    <t>199 E 13 6143 00 801 0 99 0 15</t>
  </si>
  <si>
    <t>199 E 13 6143 00 999 0 99 0 15</t>
  </si>
  <si>
    <t>199 E 13 6144 00 801 0 99 0 15</t>
  </si>
  <si>
    <t>199 E 13 6144 00 999 0 99 0 15</t>
  </si>
  <si>
    <t>199 E 13 6146 00 801 0 99 0 15</t>
  </si>
  <si>
    <t>199 E 13 6146 00 999 0 99 0 15</t>
  </si>
  <si>
    <t>199 E 13 6219 00 999 0 23 0 15</t>
  </si>
  <si>
    <t>199 E 13 6219 00 999 0 99 0 15</t>
  </si>
  <si>
    <t>199 E 13 6239 00 999 0 99 0 15</t>
  </si>
  <si>
    <t>199 E 13 6311 00 999 0 23 0 15</t>
  </si>
  <si>
    <t>199 E 13 6311 00 999 0 99 0 15</t>
  </si>
  <si>
    <t>199 E 13 6399 00 999 0 23 0 15</t>
  </si>
  <si>
    <t>199 E 13 6399 00 999 0 99 0 15</t>
  </si>
  <si>
    <t>199 E 13 6411 00 001 0 99 0 30</t>
  </si>
  <si>
    <t>199 E 13 6411 00 041 0 99 0 50</t>
  </si>
  <si>
    <t>199 E 13 6411 00 109 0 99 0 70</t>
  </si>
  <si>
    <t>199 E 13 6411 00 110 0 99 0 70</t>
  </si>
  <si>
    <t>199 E 13 6411 00 999 0 21 0 15</t>
  </si>
  <si>
    <t>199 E 13 6411 00 999 0 25 0 15</t>
  </si>
  <si>
    <t>199 E 13 6411 00 999 0 99 0 15</t>
  </si>
  <si>
    <t>199 E 13 6411 43 999 0 23 0 15</t>
  </si>
  <si>
    <t>199 E 13 6499 00 999 0 21 0 15</t>
  </si>
  <si>
    <t>199 E 13 6499 00 999 0 99 0 15</t>
  </si>
  <si>
    <t>199 E 13 ---- -- --- - -- - --</t>
  </si>
  <si>
    <t>199 E 21 6112 00 999 0 23 0 15</t>
  </si>
  <si>
    <t>199 E 21 6119 00 801 0 99 0 15</t>
  </si>
  <si>
    <t>199 E 21 6119 00 999 0 21 0 15</t>
  </si>
  <si>
    <t>199 E 21 6119 00 999 0 23 0 15</t>
  </si>
  <si>
    <t>199 E 21 6119 00 999 0 25 0 15</t>
  </si>
  <si>
    <t>199 E 21 6119 00 999 0 99 0 15</t>
  </si>
  <si>
    <t>199 E 21 6121 00 999 0 23 0 15</t>
  </si>
  <si>
    <t>199 E 21 6127 00 999 0 23 0 15</t>
  </si>
  <si>
    <t>199 E 21 6129 00 999 0 23 0 15</t>
  </si>
  <si>
    <t>199 E 21 6129 00 999 0 99 0 15</t>
  </si>
  <si>
    <t>199 E 21 6139 00 999 0 23 0 15</t>
  </si>
  <si>
    <t>199 E 21 6141 00 801 0 99 0 15</t>
  </si>
  <si>
    <t>199 E 21 6141 00 999 0 22 0 15</t>
  </si>
  <si>
    <t>199 E 21 6141 00 999 0 23 0 15</t>
  </si>
  <si>
    <t>199 E 21 6141 00 999 0 99 0 15</t>
  </si>
  <si>
    <t>199 E 21 6142 00 801 0 99 0 15</t>
  </si>
  <si>
    <t>199 E 21 6142 00 999 0 21 0 15</t>
  </si>
  <si>
    <t>199 E 21 6142 00 999 0 22 0 15</t>
  </si>
  <si>
    <t>199 E 21 6142 00 999 0 23 0 15</t>
  </si>
  <si>
    <t>199 E 21 6142 00 999 0 25 0 15</t>
  </si>
  <si>
    <t>199 E 21 6142 00 999 0 99 0 15</t>
  </si>
  <si>
    <t>199 E 21 6143 00 801 0 99 0 15</t>
  </si>
  <si>
    <t>199 E 21 6143 00 999 0 21 0 15</t>
  </si>
  <si>
    <t>199 E 21 6143 00 999 0 22 0 15</t>
  </si>
  <si>
    <t>199 E 21 6143 00 999 0 23 0 15</t>
  </si>
  <si>
    <t>199 E 21 6143 00 999 0 25 0 15</t>
  </si>
  <si>
    <t>199 E 21 6143 00 999 0 99 0 15</t>
  </si>
  <si>
    <t>199 E 21 6144 00 801 0 99 0 15</t>
  </si>
  <si>
    <t>199 E 21 6144 00 999 0 21 0 15</t>
  </si>
  <si>
    <t>199 E 21 6144 00 999 0 22 0 15</t>
  </si>
  <si>
    <t>199 E 21 6144 00 999 0 23 0 15</t>
  </si>
  <si>
    <t>199 E 21 6144 00 999 0 25 0 15</t>
  </si>
  <si>
    <t>199 E 21 6144 00 999 0 99 0 15</t>
  </si>
  <si>
    <t>199 E 21 6146 00 801 0 99 0 15</t>
  </si>
  <si>
    <t>199 E 21 6146 00 999 0 21 0 15</t>
  </si>
  <si>
    <t>199 E 21 6146 00 999 0 22 0 15</t>
  </si>
  <si>
    <t>199 E 21 6146 00 999 0 23 0 15</t>
  </si>
  <si>
    <t>199 E 21 6146 00 999 0 25 0 15</t>
  </si>
  <si>
    <t>199 E 21 6146 00 999 0 99 0 15</t>
  </si>
  <si>
    <t>199 E 21 6269 00 999 0 23 0 15</t>
  </si>
  <si>
    <t>199 E 21 6399 00 801 0 99 0 20</t>
  </si>
  <si>
    <t>199 E 21 6399 00 999 0 23 0 15</t>
  </si>
  <si>
    <t>199 E 21 6411 00 801 0 99 0 20</t>
  </si>
  <si>
    <t>199 E 21 6411 00 999 0 23 0 15</t>
  </si>
  <si>
    <t>199 E 21 6499 00 801 0 99 0 20</t>
  </si>
  <si>
    <t>199 E 21 6499 00 999 0 23 0 15</t>
  </si>
  <si>
    <t>199 E 21 ---- -- --- - -- - --</t>
  </si>
  <si>
    <t>199 E 23 6112 00 001 0 99 0 30</t>
  </si>
  <si>
    <t>199 E 23 6112 00 041 0 99 0 50</t>
  </si>
  <si>
    <t>199 E 23 6112 00 109 0 99 0 70</t>
  </si>
  <si>
    <t>199 E 23 6112 00 110 0 99 0 70</t>
  </si>
  <si>
    <t>199 E 23 6119 00 001 0 99 0 30</t>
  </si>
  <si>
    <t>199 E 23 6119 00 041 0 99 0 50</t>
  </si>
  <si>
    <t>199 E 23 6119 00 106 0 99 0 80</t>
  </si>
  <si>
    <t>199 E 23 6119 00 109 0 99 0 70</t>
  </si>
  <si>
    <t>199 E 23 6119 00 110 0 99 0 70</t>
  </si>
  <si>
    <t>199 E 23 6121 00 001 0 99 0 30</t>
  </si>
  <si>
    <t>199 E 23 6121 00 041 0 99 0 50</t>
  </si>
  <si>
    <t>199 E 23 6121 00 106 0 99 0 80</t>
  </si>
  <si>
    <t>199 E 23 6121 00 109 0 99 0 70</t>
  </si>
  <si>
    <t>199 E 23 6121 00 110 0 99 0 70</t>
  </si>
  <si>
    <t>199 E 23 6127 00 001 0 99 0 30</t>
  </si>
  <si>
    <t>199 E 23 6127 00 041 0 99 0 50</t>
  </si>
  <si>
    <t>199 E 23 6127 00 106 0 99 0 80</t>
  </si>
  <si>
    <t>199 E 23 6127 00 109 0 99 0 70</t>
  </si>
  <si>
    <t>199 E 23 6127 00 110 0 99 0 70</t>
  </si>
  <si>
    <t>199 E 23 6127 00 999 0 99 0 15</t>
  </si>
  <si>
    <t>199 E 23 6129 00 001 0 99 0 30</t>
  </si>
  <si>
    <t>199 E 23 6129 00 041 0 99 0 50</t>
  </si>
  <si>
    <t>199 E 23 6129 00 106 0 99 0 80</t>
  </si>
  <si>
    <t>199 E 23 6129 00 109 0 99 0 70</t>
  </si>
  <si>
    <t>199 E 23 6129 00 110 0 99 0 70</t>
  </si>
  <si>
    <t>199 E 23 6129 00 999 0 99 0 15</t>
  </si>
  <si>
    <t>199 E 23 6137 00 106 0 99 0 80</t>
  </si>
  <si>
    <t>199 E 23 6137 00 109 0 99 0 70</t>
  </si>
  <si>
    <t>199 E 23 6138 00 109 0 99 0 70</t>
  </si>
  <si>
    <t>199 E 23 6139 00 106 0 99 0 80</t>
  </si>
  <si>
    <t>199 E 23 6141 00 001 0 99 0 30</t>
  </si>
  <si>
    <t>199 E 23 6141 00 041 0 99 0 50</t>
  </si>
  <si>
    <t>199 E 23 6141 00 106 0 99 0 80</t>
  </si>
  <si>
    <t>199 E 23 6141 00 109 0 99 0 70</t>
  </si>
  <si>
    <t>199 E 23 6141 00 110 0 99 0 70</t>
  </si>
  <si>
    <t>199 E 23 6141 00 999 0 99 0 15</t>
  </si>
  <si>
    <t>199 E 23 6142 00 001 0 99 0 30</t>
  </si>
  <si>
    <t>199 E 23 6142 00 041 0 99 0 50</t>
  </si>
  <si>
    <t>199 E 23 6142 00 106 0 99 0 80</t>
  </si>
  <si>
    <t>199 E 23 6142 00 109 0 99 0 70</t>
  </si>
  <si>
    <t>199 E 23 6142 00 110 0 99 0 70</t>
  </si>
  <si>
    <t>199 E 23 6142 00 999 0 99 0 15</t>
  </si>
  <si>
    <t>199 E 23 6143 00 001 0 99 0 30</t>
  </si>
  <si>
    <t>199 E 23 6143 00 041 0 99 0 50</t>
  </si>
  <si>
    <t>199 E 23 6143 00 106 0 99 0 80</t>
  </si>
  <si>
    <t>199 E 23 6143 00 109 0 99 0 70</t>
  </si>
  <si>
    <t>199 E 23 6143 00 110 0 99 0 70</t>
  </si>
  <si>
    <t>199 E 23 6143 00 999 0 99 0 15</t>
  </si>
  <si>
    <t>199 E 23 6144 00 001 0 99 0 30</t>
  </si>
  <si>
    <t>199 E 23 6144 00 041 0 99 0 50</t>
  </si>
  <si>
    <t>199 E 23 6144 00 106 0 99 0 80</t>
  </si>
  <si>
    <t>199 E 23 6144 00 109 0 99 0 70</t>
  </si>
  <si>
    <t>199 E 23 6144 00 110 0 99 0 70</t>
  </si>
  <si>
    <t>199 E 23 6144 00 999 0 99 0 15</t>
  </si>
  <si>
    <t>199 E 23 6146 00 001 0 99 0 30</t>
  </si>
  <si>
    <t>199 E 23 6146 00 041 0 99 0 50</t>
  </si>
  <si>
    <t>199 E 23 6146 00 106 0 99 0 80</t>
  </si>
  <si>
    <t>199 E 23 6146 00 109 0 99 0 70</t>
  </si>
  <si>
    <t>199 E 23 6146 00 110 0 99 0 70</t>
  </si>
  <si>
    <t>199 E 23 6146 00 999 0 99 0 15</t>
  </si>
  <si>
    <t>199 E 23 6146 22 699 0 24 0 15</t>
  </si>
  <si>
    <t>199 E 23 6219 00 999 0 99 0 15</t>
  </si>
  <si>
    <t>199 E 23 6239 00 999 0 99 0 15</t>
  </si>
  <si>
    <t>199 E 23 6268 80 001 0 99 0 30</t>
  </si>
  <si>
    <t>RENTALS-OTHER</t>
  </si>
  <si>
    <t>199 E 23 6329 00 110 0 99 0 70</t>
  </si>
  <si>
    <t>199 E 23 6399 00 001 0 99 0 30</t>
  </si>
  <si>
    <t>199 E 23 6399 00 041 0 99 0 50</t>
  </si>
  <si>
    <t>199 E 23 6399 00 109 0 99 0 70</t>
  </si>
  <si>
    <t>199 E 23 6399 00 110 0 99 0 70</t>
  </si>
  <si>
    <t>199 E 23 6399 80 001 0 99 0 30</t>
  </si>
  <si>
    <t>199 E 23 6411 00 001 0 99 0 30</t>
  </si>
  <si>
    <t>199 E 23 6411 00 041 0 99 0 50</t>
  </si>
  <si>
    <t>199 E 23 6411 00 109 0 99 0 70</t>
  </si>
  <si>
    <t>199 E 23 6411 00 110 0 99 0 70</t>
  </si>
  <si>
    <t>199 E 23 6499 00 041 0 99 0 50</t>
  </si>
  <si>
    <t>199 E 23 6499 00 109 0 99 0 70</t>
  </si>
  <si>
    <t>199 E 23 6499 00 110 0 99 0 70</t>
  </si>
  <si>
    <t>199 E 23 ---- -- --- - -- - --</t>
  </si>
  <si>
    <t>199 E 31 6119 00 001 0 23 0 30</t>
  </si>
  <si>
    <t>199 E 31 6119 00 001 0 99 0 30</t>
  </si>
  <si>
    <t>199 E 31 6119 00 041 0 21 0 50</t>
  </si>
  <si>
    <t>199 E 31 6119 00 041 0 23 0 50</t>
  </si>
  <si>
    <t>199 E 31 6119 00 041 0 99 0 50</t>
  </si>
  <si>
    <t>199 E 31 6119 00 106 0 23 0 80</t>
  </si>
  <si>
    <t>199 E 31 6119 00 106 0 99 0 80</t>
  </si>
  <si>
    <t>199 E 31 6119 00 109 0 21 0 70</t>
  </si>
  <si>
    <t>199 E 31 6119 00 109 0 23 0 70</t>
  </si>
  <si>
    <t>199 E 31 6119 00 109 0 99 0 70</t>
  </si>
  <si>
    <t>199 E 31 6119 00 110 0 21 0 70</t>
  </si>
  <si>
    <t>199 E 31 6119 00 110 0 23 0 70</t>
  </si>
  <si>
    <t>199 E 31 6119 00 110 0 99 0 70</t>
  </si>
  <si>
    <t>199 E 31 6119 00 999 0 99 0 15</t>
  </si>
  <si>
    <t>199 E 31 6121 00 999 0 99 0 15</t>
  </si>
  <si>
    <t>199 E 31 6129 00 001 0 99 0 30</t>
  </si>
  <si>
    <t>199 E 31 6138 00 999 0 23 0 15</t>
  </si>
  <si>
    <t>199 E 31 6141 00 001 0 23 0 30</t>
  </si>
  <si>
    <t>199 E 31 6141 00 001 0 99 0 30</t>
  </si>
  <si>
    <t>199 E 31 6141 00 041 0 21 0 50</t>
  </si>
  <si>
    <t>199 E 31 6141 00 041 0 23 0 50</t>
  </si>
  <si>
    <t>199 E 31 6141 00 041 0 99 0 50</t>
  </si>
  <si>
    <t>199 E 31 6141 00 106 0 23 0 80</t>
  </si>
  <si>
    <t>199 E 31 6141 00 106 0 99 0 80</t>
  </si>
  <si>
    <t>199 E 31 6141 00 109 0 21 0 70</t>
  </si>
  <si>
    <t>199 E 31 6141 00 109 0 23 0 70</t>
  </si>
  <si>
    <t>199 E 31 6141 00 109 0 99 0 70</t>
  </si>
  <si>
    <t>199 E 31 6141 00 110 0 21 0 70</t>
  </si>
  <si>
    <t>199 E 31 6141 00 110 0 23 0 70</t>
  </si>
  <si>
    <t>199 E 31 6141 00 110 0 99 0 70</t>
  </si>
  <si>
    <t>199 E 31 6141 00 999 0 23 0 15</t>
  </si>
  <si>
    <t>199 E 31 6141 00 999 0 24 0 15</t>
  </si>
  <si>
    <t>199 E 31 6141 00 999 0 99 0 15</t>
  </si>
  <si>
    <t>199 E 31 6142 00 001 0 23 0 30</t>
  </si>
  <si>
    <t>199 E 31 6142 00 001 0 99 0 30</t>
  </si>
  <si>
    <t>199 E 31 6142 00 041 0 21 0 50</t>
  </si>
  <si>
    <t>199 E 31 6142 00 041 0 23 0 50</t>
  </si>
  <si>
    <t>199 E 31 6142 00 041 0 99 0 50</t>
  </si>
  <si>
    <t>199 E 31 6142 00 106 0 23 0 80</t>
  </si>
  <si>
    <t>199 E 31 6142 00 106 0 99 0 80</t>
  </si>
  <si>
    <t>199 E 31 6142 00 109 0 21 0 70</t>
  </si>
  <si>
    <t>199 E 31 6142 00 109 0 23 0 70</t>
  </si>
  <si>
    <t>199 E 31 6142 00 109 0 99 0 70</t>
  </si>
  <si>
    <t>199 E 31 6142 00 110 0 21 0 70</t>
  </si>
  <si>
    <t>199 E 31 6142 00 110 0 23 0 70</t>
  </si>
  <si>
    <t>199 E 31 6142 00 110 0 99 0 70</t>
  </si>
  <si>
    <t>199 E 31 6142 00 999 0 23 0 15</t>
  </si>
  <si>
    <t>199 E 31 6142 00 999 0 24 0 15</t>
  </si>
  <si>
    <t>199 E 31 6142 00 999 0 99 0 15</t>
  </si>
  <si>
    <t>199 E 31 6143 00 001 0 23 0 30</t>
  </si>
  <si>
    <t>199 E 31 6143 00 001 0 99 0 30</t>
  </si>
  <si>
    <t>199 E 31 6143 00 041 0 21 0 50</t>
  </si>
  <si>
    <t>199 E 31 6143 00 041 0 23 0 50</t>
  </si>
  <si>
    <t>199 E 31 6143 00 041 0 99 0 50</t>
  </si>
  <si>
    <t>199 E 31 6143 00 106 0 23 0 80</t>
  </si>
  <si>
    <t>199 E 31 6143 00 106 0 99 0 80</t>
  </si>
  <si>
    <t>199 E 31 6143 00 109 0 21 0 70</t>
  </si>
  <si>
    <t>199 E 31 6143 00 109 0 23 0 70</t>
  </si>
  <si>
    <t>199 E 31 6143 00 109 0 99 0 70</t>
  </si>
  <si>
    <t>199 E 31 6143 00 110 0 21 0 70</t>
  </si>
  <si>
    <t>199 E 31 6143 00 110 0 23 0 70</t>
  </si>
  <si>
    <t>199 E 31 6143 00 110 0 99 0 70</t>
  </si>
  <si>
    <t>199 E 31 6143 00 999 0 23 0 15</t>
  </si>
  <si>
    <t>199 E 31 6143 00 999 0 24 0 15</t>
  </si>
  <si>
    <t>199 E 31 6143 00 999 0 99 0 15</t>
  </si>
  <si>
    <t>199 E 31 6144 00 001 0 23 0 30</t>
  </si>
  <si>
    <t>199 E 31 6144 00 001 0 99 0 30</t>
  </si>
  <si>
    <t>199 E 31 6144 00 041 0 21 0 50</t>
  </si>
  <si>
    <t>199 E 31 6144 00 041 0 23 0 50</t>
  </si>
  <si>
    <t>199 E 31 6144 00 041 0 99 0 50</t>
  </si>
  <si>
    <t>199 E 31 6144 00 106 0 23 0 80</t>
  </si>
  <si>
    <t>199 E 31 6144 00 106 0 99 0 80</t>
  </si>
  <si>
    <t>199 E 31 6144 00 109 0 21 0 70</t>
  </si>
  <si>
    <t>199 E 31 6144 00 109 0 23 0 70</t>
  </si>
  <si>
    <t>199 E 31 6144 00 109 0 99 0 70</t>
  </si>
  <si>
    <t>199 E 31 6144 00 110 0 21 0 70</t>
  </si>
  <si>
    <t>199 E 31 6144 00 110 0 23 0 70</t>
  </si>
  <si>
    <t>199 E 31 6144 00 110 0 99 0 70</t>
  </si>
  <si>
    <t>199 E 31 6144 00 999 0 23 0 15</t>
  </si>
  <si>
    <t>199 E 31 6144 00 999 0 24 0 15</t>
  </si>
  <si>
    <t>199 E 31 6144 00 999 0 99 0 15</t>
  </si>
  <si>
    <t>199 E 31 6146 00 001 0 23 0 30</t>
  </si>
  <si>
    <t>199 E 31 6146 00 001 0 99 0 30</t>
  </si>
  <si>
    <t>199 E 31 6146 00 041 0 21 0 50</t>
  </si>
  <si>
    <t>199 E 31 6146 00 041 0 23 0 50</t>
  </si>
  <si>
    <t>199 E 31 6146 00 041 0 99 0 50</t>
  </si>
  <si>
    <t>199 E 31 6146 00 106 0 23 0 80</t>
  </si>
  <si>
    <t>199 E 31 6146 00 106 0 99 0 80</t>
  </si>
  <si>
    <t>199 E 31 6146 00 109 0 21 0 70</t>
  </si>
  <si>
    <t>199 E 31 6146 00 109 0 23 0 70</t>
  </si>
  <si>
    <t>199 E 31 6146 00 109 0 99 0 70</t>
  </si>
  <si>
    <t>199 E 31 6146 00 110 0 21 0 70</t>
  </si>
  <si>
    <t>199 E 31 6146 00 110 0 23 0 70</t>
  </si>
  <si>
    <t>199 E 31 6146 00 110 0 99 0 70</t>
  </si>
  <si>
    <t>199 E 31 6146 00 999 0 23 0 15</t>
  </si>
  <si>
    <t>199 E 31 6146 00 999 0 24 0 15</t>
  </si>
  <si>
    <t>199 E 31 6146 00 999 0 99 0 15</t>
  </si>
  <si>
    <t>199 E 31 6239 00 999 0 99 0 15</t>
  </si>
  <si>
    <t>199 E 31 6249 00 001 0 99 0 30</t>
  </si>
  <si>
    <t>199 E 31 6329 00 001 0 99 0 30</t>
  </si>
  <si>
    <t>199 E 31 6339 94 999 0 99 0 15</t>
  </si>
  <si>
    <t>TESTING MATERIALS</t>
  </si>
  <si>
    <t>199 E 31 6399 00 001 0 99 0 30</t>
  </si>
  <si>
    <t>199 E 31 6399 00 041 0 99 0 50</t>
  </si>
  <si>
    <t>199 E 31 6399 00 109 0 99 0 70</t>
  </si>
  <si>
    <t>199 E 31 6399 00 110 0 99 0 70</t>
  </si>
  <si>
    <t>199 E 31 6399 41 999 0 23 0 15</t>
  </si>
  <si>
    <t>199 E 31 6399 42 999 0 23 0 15</t>
  </si>
  <si>
    <t>199 E 31 6399 94 999 0 99 0 15</t>
  </si>
  <si>
    <t>199 E 31 6411 00 001 0 99 0 30</t>
  </si>
  <si>
    <t>199 E 31 6411 00 041 0 99 0 50</t>
  </si>
  <si>
    <t>199 E 31 6411 00 109 0 99 0 70</t>
  </si>
  <si>
    <t>199 E 31 6411 00 110 0 99 0 70</t>
  </si>
  <si>
    <t>199 E 31 6411 41 999 0 23 0 15</t>
  </si>
  <si>
    <t>199 E 31 6411 42 999 0 23 0 15</t>
  </si>
  <si>
    <t>199 E 31 6411 94 999 0 99 0 15</t>
  </si>
  <si>
    <t>199 E 31 6499 00 999 0 23 0 15</t>
  </si>
  <si>
    <t>199 E 31 ---- -- --- - -- - --</t>
  </si>
  <si>
    <t>199 E 32 6219 00 999 0 24 0 15</t>
  </si>
  <si>
    <t>199 E 32 6219 00 999 0 99 0 15</t>
  </si>
  <si>
    <t>199 E 32 ---- -- --- - -- - --</t>
  </si>
  <si>
    <t>199 E 33 6119 00 001 0 99 0 30</t>
  </si>
  <si>
    <t>199 E 33 6119 00 041 0 99 0 50</t>
  </si>
  <si>
    <t>199 E 33 6121 00 001 0 99 0 30</t>
  </si>
  <si>
    <t>199 E 33 6121 00 109 0 99 0 70</t>
  </si>
  <si>
    <t>199 E 33 6121 00 110 0 99 0 70</t>
  </si>
  <si>
    <t>199 E 33 6121 00 999 0 99 0 15</t>
  </si>
  <si>
    <t>199 E 33 6129 00 106 0 99 0 80</t>
  </si>
  <si>
    <t>199 E 33 6129 00 109 0 99 0 70</t>
  </si>
  <si>
    <t>199 E 33 6129 00 110 0 99 0 70</t>
  </si>
  <si>
    <t>199 E 33 6141 00 001 0 99 0 30</t>
  </si>
  <si>
    <t>199 E 33 6141 00 041 0 99 0 50</t>
  </si>
  <si>
    <t>199 E 33 6141 00 106 0 99 0 80</t>
  </si>
  <si>
    <t>199 E 33 6141 00 109 0 99 0 70</t>
  </si>
  <si>
    <t>199 E 33 6141 00 110 0 99 0 70</t>
  </si>
  <si>
    <t>199 E 33 6141 00 999 0 99 0 15</t>
  </si>
  <si>
    <t>199 E 33 6142 00 001 0 99 0 30</t>
  </si>
  <si>
    <t>199 E 33 6142 00 041 0 99 0 50</t>
  </si>
  <si>
    <t>199 E 33 6142 00 106 0 99 0 80</t>
  </si>
  <si>
    <t>199 E 33 6142 00 109 0 99 0 70</t>
  </si>
  <si>
    <t>199 E 33 6142 00 110 0 99 0 70</t>
  </si>
  <si>
    <t>199 E 33 6143 00 001 0 99 0 30</t>
  </si>
  <si>
    <t>199 E 33 6143 00 041 0 99 0 50</t>
  </si>
  <si>
    <t>199 E 33 6143 00 106 0 99 0 80</t>
  </si>
  <si>
    <t>199 E 33 6143 00 109 0 99 0 70</t>
  </si>
  <si>
    <t>199 E 33 6143 00 110 0 99 0 70</t>
  </si>
  <si>
    <t>199 E 33 6143 00 999 0 99 0 15</t>
  </si>
  <si>
    <t>199 E 33 6144 00 001 0 99 0 30</t>
  </si>
  <si>
    <t>199 E 33 6144 00 041 0 99 0 50</t>
  </si>
  <si>
    <t>199 E 33 6144 00 106 0 99 0 80</t>
  </si>
  <si>
    <t>199 E 33 6144 00 109 0 99 0 70</t>
  </si>
  <si>
    <t>199 E 33 6144 00 110 0 99 0 70</t>
  </si>
  <si>
    <t>199 E 33 6144 00 999 0 99 0 15</t>
  </si>
  <si>
    <t>199 E 33 6146 00 001 0 99 0 30</t>
  </si>
  <si>
    <t>199 E 33 6146 00 041 0 99 0 50</t>
  </si>
  <si>
    <t>199 E 33 6146 00 106 0 99 0 80</t>
  </si>
  <si>
    <t>199 E 33 6146 00 109 0 99 0 70</t>
  </si>
  <si>
    <t>199 E 33 6146 00 110 0 99 0 70</t>
  </si>
  <si>
    <t>199 E 33 6146 00 999 0 99 0 15</t>
  </si>
  <si>
    <t>199 E 33 6239 00 999 0 99 0 15</t>
  </si>
  <si>
    <t>199 E 33 6399 00 999 0 99 0 15</t>
  </si>
  <si>
    <t>199 E 33 6411 00 999 0 99 0 15</t>
  </si>
  <si>
    <t>199 E 33 ---- -- --- - -- - --</t>
  </si>
  <si>
    <t>199 E 34 6119 00 998 0 99 0 95</t>
  </si>
  <si>
    <t>199 E 34 6121 00 998 0 99 0 95</t>
  </si>
  <si>
    <t>199 E 34 6129 00 998 0 99 0 95</t>
  </si>
  <si>
    <t>199 E 34 6129 01 998 0 99 0 95</t>
  </si>
  <si>
    <t>199 E 34 6129 01 999 0 99 0 95</t>
  </si>
  <si>
    <t>199 E 34 6141 00 998 0 99 0 95</t>
  </si>
  <si>
    <t>199 E 34 6141 01 998 0 99 0 95</t>
  </si>
  <si>
    <t>199 E 34 6141 01 999 0 99 0 95</t>
  </si>
  <si>
    <t>199 E 34 6142 00 998 0 99 0 95</t>
  </si>
  <si>
    <t>199 E 34 6142 01 999 0 99 0 95</t>
  </si>
  <si>
    <t>199 E 34 6143 00 998 0 99 0 95</t>
  </si>
  <si>
    <t>199 E 34 6143 01 998 0 99 0 95</t>
  </si>
  <si>
    <t>199 E 34 6143 01 999 0 99 0 95</t>
  </si>
  <si>
    <t>199 E 34 6144 00 998 0 99 0 95</t>
  </si>
  <si>
    <t>199 E 34 6144 01 998 0 99 0 95</t>
  </si>
  <si>
    <t>199 E 34 6144 01 999 0 99 0 95</t>
  </si>
  <si>
    <t>199 E 34 6146 00 998 0 99 0 95</t>
  </si>
  <si>
    <t>199 E 34 6146 01 998 0 99 0 95</t>
  </si>
  <si>
    <t>199 E 34 6146 01 999 0 99 0 95</t>
  </si>
  <si>
    <t>199 E 34 6219 00 999 0 99 0 95</t>
  </si>
  <si>
    <t>199 E 34 6239 00 999 0 99 0 95</t>
  </si>
  <si>
    <t>199 E 34 6249 00 999 0 99 0 95</t>
  </si>
  <si>
    <t>199 E 34 6311 00 998 0 99 0 95</t>
  </si>
  <si>
    <t>199 E 34 6311 00 999 0 99 0 95</t>
  </si>
  <si>
    <t>199 E 34 6399 00 998 0 99 0 95</t>
  </si>
  <si>
    <t>199 E 34 6399 00 999 0 99 0 95</t>
  </si>
  <si>
    <t>199 E 34 6411 00 998 0 99 0 95</t>
  </si>
  <si>
    <t>199 E 34 6429 00 999 0 99 0 95</t>
  </si>
  <si>
    <t>INSURANCE &amp; BONDING COSTS</t>
  </si>
  <si>
    <t>199 E 34 6631 00 998 0 99 0 95</t>
  </si>
  <si>
    <t>VEHICLES</t>
  </si>
  <si>
    <t>199 E 34 ---- -- --- - -- - --</t>
  </si>
  <si>
    <t>199 E 36 6119 00 001 0 91 0 45</t>
  </si>
  <si>
    <t>199 E 36 6119 00 041 0 91 0 45</t>
  </si>
  <si>
    <t>199 E 36 6119 70 001 0 99 0 30</t>
  </si>
  <si>
    <t>199 E 36 6121 00 001 0 91 0 45</t>
  </si>
  <si>
    <t>199 E 36 6129 00 001 0 91 0 45</t>
  </si>
  <si>
    <t>199 E 36 6137 00 001 0 91 0 15</t>
  </si>
  <si>
    <t>199 E 36 6141 00 001 0 91 0 15</t>
  </si>
  <si>
    <t>199 E 36 6141 00 001 0 91 0 45</t>
  </si>
  <si>
    <t>199 E 36 6141 00 041 0 91 0 45</t>
  </si>
  <si>
    <t>199 E 36 6141 70 001 0 99 0 30</t>
  </si>
  <si>
    <t>199 E 36 6142 00 001 0 91 0 45</t>
  </si>
  <si>
    <t>199 E 36 6142 00 041 0 91 0 45</t>
  </si>
  <si>
    <t>199 E 36 6142 70 001 0 99 0 30</t>
  </si>
  <si>
    <t>199 E 36 6143 00 001 0 91 0 45</t>
  </si>
  <si>
    <t>199 E 36 6143 00 041 0 91 0 45</t>
  </si>
  <si>
    <t>199 E 36 6143 70 001 0 99 0 30</t>
  </si>
  <si>
    <t>199 E 36 6144 00 001 0 91 0 45</t>
  </si>
  <si>
    <t>199 E 36 6144 00 041 0 91 0 45</t>
  </si>
  <si>
    <t>199 E 36 6144 70 001 0 99 0 30</t>
  </si>
  <si>
    <t>199 E 36 6146 00 001 0 91 0 15</t>
  </si>
  <si>
    <t>199 E 36 6146 00 001 0 91 0 45</t>
  </si>
  <si>
    <t>199 E 36 6146 00 041 0 91 0 45</t>
  </si>
  <si>
    <t>199 E 36 6146 70 001 0 99 0 30</t>
  </si>
  <si>
    <t>199 E 36 6219 00 001 0 91 0 45</t>
  </si>
  <si>
    <t>199 E 36 6219 01 001 0 91 0 45</t>
  </si>
  <si>
    <t>199 E 36 6219 03 041 0 99 0 50</t>
  </si>
  <si>
    <t>199 E 36 6219 04 001 0 91 0 45</t>
  </si>
  <si>
    <t>199 E 36 6219 05 001 0 99 0 30</t>
  </si>
  <si>
    <t>199 E 36 6219 05 041 0 99 0 50</t>
  </si>
  <si>
    <t>199 E 36 6219 95 999 0 99 0 15</t>
  </si>
  <si>
    <t>199 E 36 6249 00 001 0 91 0 45</t>
  </si>
  <si>
    <t>199 E 36 6269 00 001 0 91 0 15</t>
  </si>
  <si>
    <t>199 E 36 6299 00 001 0 91 0 45</t>
  </si>
  <si>
    <t>MISC. CONTRACTED SERVICES</t>
  </si>
  <si>
    <t>199 E 36 6311 00 001 0 91 0 15</t>
  </si>
  <si>
    <t>199 E 36 6311 00 001 0 99 0 15</t>
  </si>
  <si>
    <t>199 E 36 6311 00 041 0 99 0 15</t>
  </si>
  <si>
    <t>199 E 36 6329 70 001 0 99 0 30</t>
  </si>
  <si>
    <t>199 E 36 6399 00 001 0 91 0 45</t>
  </si>
  <si>
    <t>199 E 36 6399 00 001 0 99 0 30</t>
  </si>
  <si>
    <t>199 E 36 6399 01 001 0 91 0 45</t>
  </si>
  <si>
    <t>199 E 36 6399 03 001 0 99 0 30</t>
  </si>
  <si>
    <t>199 E 36 6399 05 001 0 99 0 30</t>
  </si>
  <si>
    <t>199 E 36 6399 05 041 0 99 0 50</t>
  </si>
  <si>
    <t>199 E 36 6399 06 001 0 99 0 30</t>
  </si>
  <si>
    <t>199 E 36 6399 06 041 0 99 0 50</t>
  </si>
  <si>
    <t>199 E 36 6399 07 001 0 91 0 45</t>
  </si>
  <si>
    <t>199 E 36 6399 17 001 0 99 0 30</t>
  </si>
  <si>
    <t>199 E 36 6399 70 001 0 99 0 30</t>
  </si>
  <si>
    <t>199 E 36 6399 70 041 0 99 0 50</t>
  </si>
  <si>
    <t>199 E 36 6399 71 001 0 91 0 45</t>
  </si>
  <si>
    <t>199 E 36 6399 72 001 0 91 0 45</t>
  </si>
  <si>
    <t>199 E 36 6399 72 041 0 91 0 45</t>
  </si>
  <si>
    <t>199 E 36 6399 73 001 0 91 0 45</t>
  </si>
  <si>
    <t>199 E 36 6399 73 041 0 91 0 45</t>
  </si>
  <si>
    <t>199 E 36 6399 74 001 0 91 0 45</t>
  </si>
  <si>
    <t>199 E 36 6399 74 041 0 91 0 45</t>
  </si>
  <si>
    <t>199 E 36 6399 75 001 0 91 0 45</t>
  </si>
  <si>
    <t>199 E 36 6399 75 041 0 91 0 45</t>
  </si>
  <si>
    <t>199 E 36 6399 77 001 0 91 0 45</t>
  </si>
  <si>
    <t>199 E 36 6399 77 041 0 91 0 45</t>
  </si>
  <si>
    <t>199 E 36 6399 78 001 0 91 0 45</t>
  </si>
  <si>
    <t>199 E 36 6399 78 041 0 91 0 45</t>
  </si>
  <si>
    <t>199 E 36 6399 79 001 0 91 0 45</t>
  </si>
  <si>
    <t>199 E 36 6399 79 041 0 91 0 45</t>
  </si>
  <si>
    <t>199 E 36 6399 80 001 0 91 0 45</t>
  </si>
  <si>
    <t>199 E 36 6399 80 041 0 91 0 45</t>
  </si>
  <si>
    <t>199 E 36 6399 81 001 0 91 0 45</t>
  </si>
  <si>
    <t>199 E 36 6399 82 001 0 91 0 45</t>
  </si>
  <si>
    <t>199 E 36 6399 83 001 0 91 0 45</t>
  </si>
  <si>
    <t>199 E 36 6399 84 001 0 91 0 45</t>
  </si>
  <si>
    <t>199 E 36 6399 90 001 0 99 0 30</t>
  </si>
  <si>
    <t>199 E 36 6399 91 001 0 99 0 30</t>
  </si>
  <si>
    <t>199 E 36 6411 50 001 0 22 0 30</t>
  </si>
  <si>
    <t>199 E 36 6411 51 001 0 22 0 30</t>
  </si>
  <si>
    <t>199 E 36 6411 70 001 0 99 0 30</t>
  </si>
  <si>
    <t>199 E 36 6411 70 041 0 99 0 50</t>
  </si>
  <si>
    <t>199 E 36 6411 74 001 0 91 0 45</t>
  </si>
  <si>
    <t>199 E 36 6411 81 001 0 91 0 45</t>
  </si>
  <si>
    <t>199 E 36 6412 00 001 0 91 0 45</t>
  </si>
  <si>
    <t>199 E 36 6412 00 001 0 99 0 15</t>
  </si>
  <si>
    <t>199 E 36 6412 00 001 0 99 0 30</t>
  </si>
  <si>
    <t>199 E 36 6412 00 041 0 99 0 50</t>
  </si>
  <si>
    <t>199 E 36 6412 00 109 0 99 0 70</t>
  </si>
  <si>
    <t>199 E 36 6412 00 110 0 99 0 70</t>
  </si>
  <si>
    <t>199 E 36 6412 03 001 0 99 0 30</t>
  </si>
  <si>
    <t>199 E 36 6412 03 041 0 99 0 50</t>
  </si>
  <si>
    <t>199 E 36 6412 05 001 0 99 0 30</t>
  </si>
  <si>
    <t>199 E 36 6412 05 041 0 99 0 50</t>
  </si>
  <si>
    <t>199 E 36 6412 06 001 0 99 0 30</t>
  </si>
  <si>
    <t>199 E 36 6412 17 001 0 99 0 30</t>
  </si>
  <si>
    <t>199 E 36 6412 50 001 0 22 0 30</t>
  </si>
  <si>
    <t>199 E 36 6412 51 001 0 22 0 30</t>
  </si>
  <si>
    <t>199 E 36 6412 70 001 0 99 0 30</t>
  </si>
  <si>
    <t>199 E 36 6412 70 041 0 99 0 50</t>
  </si>
  <si>
    <t>199 E 36 6412 71 001 0 91 0 45</t>
  </si>
  <si>
    <t>199 E 36 6412 72 001 0 91 0 45</t>
  </si>
  <si>
    <t>199 E 36 6412 72 041 0 91 0 45</t>
  </si>
  <si>
    <t>199 E 36 6412 73 001 0 91 0 45</t>
  </si>
  <si>
    <t>199 E 36 6412 73 041 0 91 0 45</t>
  </si>
  <si>
    <t>199 E 36 6412 74 001 0 91 0 45</t>
  </si>
  <si>
    <t>199 E 36 6412 74 041 0 91 0 45</t>
  </si>
  <si>
    <t>199 E 36 6412 75 001 0 91 0 45</t>
  </si>
  <si>
    <t>199 E 36 6412 75 041 0 91 0 45</t>
  </si>
  <si>
    <t>199 E 36 6412 77 001 0 91 0 45</t>
  </si>
  <si>
    <t>199 E 36 6412 77 041 0 91 0 45</t>
  </si>
  <si>
    <t>199 E 36 6412 78 001 0 91 0 45</t>
  </si>
  <si>
    <t>199 E 36 6412 78 041 0 91 0 45</t>
  </si>
  <si>
    <t>199 E 36 6412 79 001 0 91 0 45</t>
  </si>
  <si>
    <t>199 E 36 6412 79 041 0 91 0 45</t>
  </si>
  <si>
    <t>199 E 36 6412 80 001 0 91 0 45</t>
  </si>
  <si>
    <t>199 E 36 6412 80 041 0 91 0 45</t>
  </si>
  <si>
    <t>199 E 36 6412 82 001 0 91 0 45</t>
  </si>
  <si>
    <t>199 E 36 6412 83 001 0 91 0 45</t>
  </si>
  <si>
    <t>199 E 36 6412 84 001 0 91 0 45</t>
  </si>
  <si>
    <t>199 E 36 6412 91 001 0 99 0 30</t>
  </si>
  <si>
    <t>199 E 36 6429 00 001 0 99 0 45</t>
  </si>
  <si>
    <t>199 E 36 6499 00 001 0 99 0 15</t>
  </si>
  <si>
    <t>199 E 36 6499 13 001 0 99 0 30</t>
  </si>
  <si>
    <t>199 E 36 6499 74 001 0 91 0 45</t>
  </si>
  <si>
    <t>199 E 36 6499 81 001 0 91 0 45</t>
  </si>
  <si>
    <t>199 E 36 ---- -- --- - -- - --</t>
  </si>
  <si>
    <t>199 E 41 6119 00 701 0 99 0 10</t>
  </si>
  <si>
    <t>199 E 41 6119 00 750 0 99 0 10</t>
  </si>
  <si>
    <t>199 E 41 6121 00 701 0 99 0 10</t>
  </si>
  <si>
    <t>199 E 41 6121 00 749 0 99 0 10</t>
  </si>
  <si>
    <t>199 E 41 6121 00 750 0 99 0 10</t>
  </si>
  <si>
    <t>199 E 41 6127 00 750 0 99 0 10</t>
  </si>
  <si>
    <t>199 E 41 6129 00 701 0 99 0 10</t>
  </si>
  <si>
    <t>199 E 41 6129 00 749 0 99 0 10</t>
  </si>
  <si>
    <t>199 E 41 6129 00 750 0 99 0 10</t>
  </si>
  <si>
    <t>199 E 41 6137 00 750 0 99 0 15</t>
  </si>
  <si>
    <t>199 E 41 6138 00 750 0 99 0 15</t>
  </si>
  <si>
    <t>199 E 41 6139 00 701 0 99 0 10</t>
  </si>
  <si>
    <t>199 E 41 6141 00 701 0 99 0 10</t>
  </si>
  <si>
    <t>199 E 41 6141 00 749 0 99 0 10</t>
  </si>
  <si>
    <t>199 E 41 6141 00 750 0 99 0 10</t>
  </si>
  <si>
    <t>199 E 41 6141 00 750 0 99 0 15</t>
  </si>
  <si>
    <t>199 E 41 6142 00 701 0 99 0 10</t>
  </si>
  <si>
    <t>199 E 41 6142 00 749 0 99 0 10</t>
  </si>
  <si>
    <t>199 E 41 6142 00 750 0 99 0 10</t>
  </si>
  <si>
    <t>199 E 41 6143 00 701 0 99 0 10</t>
  </si>
  <si>
    <t>199 E 41 6143 00 749 0 99 0 10</t>
  </si>
  <si>
    <t>199 E 41 6143 00 750 0 99 0 10</t>
  </si>
  <si>
    <t>199 E 41 6143 00 750 0 99 0 15</t>
  </si>
  <si>
    <t>199 E 41 6144 00 701 0 99 0 10</t>
  </si>
  <si>
    <t>199 E 41 6144 00 749 0 99 0 10</t>
  </si>
  <si>
    <t>199 E 41 6144 00 750 0 99 0 10</t>
  </si>
  <si>
    <t>199 E 41 6146 00 701 0 99 0 10</t>
  </si>
  <si>
    <t>199 E 41 6146 00 749 0 99 0 10</t>
  </si>
  <si>
    <t>199 E 41 6146 00 750 0 99 0 10</t>
  </si>
  <si>
    <t>199 E 41 6146 00 750 0 99 0 15</t>
  </si>
  <si>
    <t>199 E 41 6211 00 701 0 99 0 10</t>
  </si>
  <si>
    <t>LEGAL SERVICES</t>
  </si>
  <si>
    <t>199 E 41 6212 00 750 0 99 0 10</t>
  </si>
  <si>
    <t>AUDIT SERVICES</t>
  </si>
  <si>
    <t>199 E 41 6219 00 701 0 99 0 10</t>
  </si>
  <si>
    <t>199 E 41 6219 00 702 0 99 0 10</t>
  </si>
  <si>
    <t>199 E 41 6219 00 749 0 99 0 20</t>
  </si>
  <si>
    <t>199 E 41 6219 00 750 0 99 0 10</t>
  </si>
  <si>
    <t>199 E 41 6219 00 750 0 99 0 15</t>
  </si>
  <si>
    <t>199 E 41 6219 01 750 0 99 0 10</t>
  </si>
  <si>
    <t>199 E 41 6269 00 701 0 99 0 15</t>
  </si>
  <si>
    <t>199 E 41 6269 00 750 0 99 0 15</t>
  </si>
  <si>
    <t>199 E 41 6329 00 701 0 99 0 10</t>
  </si>
  <si>
    <t>199 E 41 6399 00 701 0 99 0 10</t>
  </si>
  <si>
    <t>199 E 41 6399 00 702 0 99 0 10</t>
  </si>
  <si>
    <t>199 E 41 6399 00 749 0 99 0 20</t>
  </si>
  <si>
    <t>199 E 41 6399 00 750 0 99 0 10</t>
  </si>
  <si>
    <t>199 E 41 6399 01 750 0 99 0 10</t>
  </si>
  <si>
    <t>199 E 41 6411 00 701 0 99 0 10</t>
  </si>
  <si>
    <t>199 E 41 6411 00 749 0 99 0 20</t>
  </si>
  <si>
    <t>199 E 41 6411 00 750 0 99 0 10</t>
  </si>
  <si>
    <t>199 E 41 6419 00 702 0 99 0 10</t>
  </si>
  <si>
    <t>TRAVEL - NON-EMPLOYEES</t>
  </si>
  <si>
    <t>199 E 41 6429 00 750 0 99 0 10</t>
  </si>
  <si>
    <t>199 E 41 6439 00 702 0 99 0 10</t>
  </si>
  <si>
    <t>ELECTION COSTS</t>
  </si>
  <si>
    <t>199 E 41 6499 00 701 0 99 0 10</t>
  </si>
  <si>
    <t>199 E 41 6499 00 702 0 99 0 10</t>
  </si>
  <si>
    <t>199 E 41 6499 00 749 0 99 0 20</t>
  </si>
  <si>
    <t>199 E 41 6499 00 750 0 99 0 10</t>
  </si>
  <si>
    <t>199 E 41 ---- -- --- - -- - --</t>
  </si>
  <si>
    <t>199 E 51 6119 00 998 0 99 0 90</t>
  </si>
  <si>
    <t>199 E 51 6121 00 998 0 99 0 90</t>
  </si>
  <si>
    <t>199 E 51 6121 01 998 0 99 0 90</t>
  </si>
  <si>
    <t>199 E 51 6127 00 998 0 99 0 90</t>
  </si>
  <si>
    <t>STUDENT WORKERS</t>
  </si>
  <si>
    <t>199 E 51 6129 00 998 0 99 0 90</t>
  </si>
  <si>
    <t>199 E 51 6129 01 998 0 99 0 90</t>
  </si>
  <si>
    <t>199 E 51 6141 00 998 0 99 0 90</t>
  </si>
  <si>
    <t>199 E 51 6141 01 998 0 99 0 90</t>
  </si>
  <si>
    <t>199 E 51 6142 00 998 0 99 0 90</t>
  </si>
  <si>
    <t>199 E 51 6142 01 998 0 99 0 90</t>
  </si>
  <si>
    <t>199 E 51 6143 00 998 0 99 0 90</t>
  </si>
  <si>
    <t>199 E 51 6143 01 998 0 99 0 90</t>
  </si>
  <si>
    <t>199 E 51 6144 00 998 0 99 0 90</t>
  </si>
  <si>
    <t>199 E 51 6144 01 998 0 99 0 90</t>
  </si>
  <si>
    <t>199 E 51 6146 00 998 0 99 0 90</t>
  </si>
  <si>
    <t>199 E 51 6146 01 998 0 99 0 90</t>
  </si>
  <si>
    <t>199 E 51 6219 00 999 0 99 0 90</t>
  </si>
  <si>
    <t>199 E 51 6249 00 999 0 99 0 90</t>
  </si>
  <si>
    <t>199 E 51 6249 01 999 0 99 0 90</t>
  </si>
  <si>
    <t>199 E 51 6259 10 999 0 99 0 90</t>
  </si>
  <si>
    <t>199 E 51 6259 11 999 0 99 0 90</t>
  </si>
  <si>
    <t>199 E 51 6259 12 999 0 99 0 90</t>
  </si>
  <si>
    <t>199 E 51 6259 13 999 0 99 0 90</t>
  </si>
  <si>
    <t>199 E 51 6268 00 999 0 99 0 90</t>
  </si>
  <si>
    <t>199 E 51 6269 00 999 0 99 0 15</t>
  </si>
  <si>
    <t>199 E 51 6311 00 998 0 99 0 95</t>
  </si>
  <si>
    <t>199 E 51 6319 01 999 0 99 0 90</t>
  </si>
  <si>
    <t>199 E 51 6319 02 999 0 99 0 90</t>
  </si>
  <si>
    <t>199 E 51 6319 03 999 0 99 0 90</t>
  </si>
  <si>
    <t>199 E 51 6319 04 999 0 99 0 90</t>
  </si>
  <si>
    <t>199 E 51 6396 00 998 0 99 0 90</t>
  </si>
  <si>
    <t>199 E 51 6411 00 998 0 99 0 90</t>
  </si>
  <si>
    <t>199 E 51 6429 00 999 0 99 0 90</t>
  </si>
  <si>
    <t>199 E 51 ---- -- --- - -- - --</t>
  </si>
  <si>
    <t>199 E 52 6129 00 999 0 99 0 15</t>
  </si>
  <si>
    <t>199 E 52 6141 00 999 0 99 0 15</t>
  </si>
  <si>
    <t>199 E 52 6143 00 999 0 99 0 15</t>
  </si>
  <si>
    <t>199 E 52 6219 00 001 0 91 0 45</t>
  </si>
  <si>
    <t>199 E 52 6219 00 001 0 99 0 15</t>
  </si>
  <si>
    <t>199 E 52 6219 00 041 0 99 0 15</t>
  </si>
  <si>
    <t>199 E 52 6219 00 106 0 99 0 15</t>
  </si>
  <si>
    <t>199 E 52 6219 00 109 0 99 0 15</t>
  </si>
  <si>
    <t>199 E 52 6219 00 110 0 99 0 15</t>
  </si>
  <si>
    <t>199 E 52 6219 00 999 0 99 0 15</t>
  </si>
  <si>
    <t>199 E 52 6239 00 999 0 99 0 15</t>
  </si>
  <si>
    <t>199 E 52 6399 00 999 0 99 0 15</t>
  </si>
  <si>
    <t>199 E 52 ---- -- --- - -- - --</t>
  </si>
  <si>
    <t>*SECURITY &amp; MONITORING SERVICES</t>
  </si>
  <si>
    <t>199 E 53 6119 00 999 0 99 0 15</t>
  </si>
  <si>
    <t>199 E 53 6121 00 999 0 99 0 15</t>
  </si>
  <si>
    <t>199 E 53 6128 00 999 0 99 0 15</t>
  </si>
  <si>
    <t>199 E 53 6129 00 999 0 99 0 15</t>
  </si>
  <si>
    <t>199 E 53 6139 00 999 0 99 0 10</t>
  </si>
  <si>
    <t>199 E 53 6141 00 999 0 99 0 10</t>
  </si>
  <si>
    <t>199 E 53 6141 00 999 0 99 0 15</t>
  </si>
  <si>
    <t>199 E 53 6142 00 999 0 99 0 15</t>
  </si>
  <si>
    <t>199 E 53 6143 00 999 0 99 0 10</t>
  </si>
  <si>
    <t>199 E 53 6143 00 999 0 99 0 15</t>
  </si>
  <si>
    <t>199 E 53 6144 00 999 0 99 0 15</t>
  </si>
  <si>
    <t>199 E 53 6146 00 999 0 99 0 15</t>
  </si>
  <si>
    <t>199 E 53 6219 00 749 0 99 0 20</t>
  </si>
  <si>
    <t>199 E 53 6219 00 750 0 99 0 15</t>
  </si>
  <si>
    <t>199 E 53 6219 00 999 0 99 0 15</t>
  </si>
  <si>
    <t>199 E 53 6219 01 999 0 99 0 15</t>
  </si>
  <si>
    <t>199 E 53 6239 00 999 0 99 0 15</t>
  </si>
  <si>
    <t>199 E 53 6396 00 999 0 99 0 20</t>
  </si>
  <si>
    <t>199 E 53 6399 00 999 0 99 0 10</t>
  </si>
  <si>
    <t>199 E 53 6399 00 999 0 99 0 15</t>
  </si>
  <si>
    <t>199 E 53 6411 00 999 0 99 0 10</t>
  </si>
  <si>
    <t>199 E 53 6411 00 999 0 99 0 15</t>
  </si>
  <si>
    <t>199 E 53 6499 00 999 0 99 0 10</t>
  </si>
  <si>
    <t>199 E 53 ---- -- --- - -- - --</t>
  </si>
  <si>
    <t>199 E 61 6121 00 999 0 99 0 15</t>
  </si>
  <si>
    <t>199 E 61 6129 00 999 0 99 0 15</t>
  </si>
  <si>
    <t>199 E 61 6141 00 999 0 99 0 15</t>
  </si>
  <si>
    <t>199 E 61 6142 00 999 0 99 0 15</t>
  </si>
  <si>
    <t>199 E 61 6143 00 999 0 99 0 15</t>
  </si>
  <si>
    <t>199 E 61 6144 00 999 0 99 0 15</t>
  </si>
  <si>
    <t>199 E 61 6146 00 999 0 99 0 15</t>
  </si>
  <si>
    <t>199 E 61 ---- -- --- - -- - --</t>
  </si>
  <si>
    <t>199 E 71 6513 11 999 0 99 0 15</t>
  </si>
  <si>
    <t>LONG-TERM DEBT PRINCIPAL</t>
  </si>
  <si>
    <t>199 E 71 6523 11 999 0 99 0 15</t>
  </si>
  <si>
    <t>INTEREST ON DEBT</t>
  </si>
  <si>
    <t>199 E 71 ---- -- --- - -- - --</t>
  </si>
  <si>
    <t>199 E 81 6629 00 001 0 99 0 30</t>
  </si>
  <si>
    <t>BUILDING PURCHASE, CONST.,IMP.</t>
  </si>
  <si>
    <t>199 E 81 6639 00 999 0 99 0 15</t>
  </si>
  <si>
    <t>199 E 81 ---- -- --- - -- - --</t>
  </si>
  <si>
    <t>199 E 91 6224 00 999 0 99 0 15</t>
  </si>
  <si>
    <t>STUDENT ATTENDANCE CREDITS</t>
  </si>
  <si>
    <t>199 E 91 ---- -- --- - -- - --</t>
  </si>
  <si>
    <t>199 E 99 6213 00 703 0 99 0 15</t>
  </si>
  <si>
    <t>TAX APPRAISAL &amp; COLLECTION</t>
  </si>
  <si>
    <t>199 E 99 6213 01 703 0 99 0 15</t>
  </si>
  <si>
    <t>199 E 99 ---- -- --- - -- - --</t>
  </si>
  <si>
    <t>199 E -- ---- -- --- - -- - --</t>
  </si>
  <si>
    <t>Grand Revenue Totals</t>
  </si>
  <si>
    <t>39,246,000.45</t>
  </si>
  <si>
    <t>Grand Expense Totals</t>
  </si>
  <si>
    <t>Grand Totals</t>
  </si>
  <si>
    <t>2,863,213</t>
  </si>
  <si>
    <t>2,863,213.00</t>
  </si>
  <si>
    <t>Description</t>
  </si>
  <si>
    <t>2017-18</t>
  </si>
  <si>
    <t>INTEREST</t>
  </si>
  <si>
    <t>TUITION AND FEES - SUMMER SCHOOL</t>
  </si>
  <si>
    <t>ROYALTY INCOME</t>
  </si>
  <si>
    <t>ONLINE FOOD SERVICE FEE</t>
  </si>
  <si>
    <t>CHAPTER 313 - WINDFARMS</t>
  </si>
  <si>
    <t xml:space="preserve">EDUCATION TEXAS FOUNDATION </t>
  </si>
  <si>
    <t>TEA - NEW FACILITY ALLOTMENT</t>
  </si>
  <si>
    <t>MEDICAID</t>
  </si>
  <si>
    <t>Recommended 
Budget</t>
  </si>
  <si>
    <t>61XX Totals</t>
  </si>
  <si>
    <t>PROFESSIONAL PERSONNEL - COMPENSATORY HOMEBOUND</t>
  </si>
  <si>
    <t>PROFESSIONAL PERSONNEL - SUMMER SCHOOL</t>
  </si>
  <si>
    <t>PROFESSIONAL PERSONNEL - SPECIAL ED - HOMEBOUND</t>
  </si>
  <si>
    <t>PROFESSIONAL PERSONNEL - SATURDAY SCHOOL</t>
  </si>
  <si>
    <t>EXTRA DUTY PAY/OVERTIME CHOIR</t>
  </si>
  <si>
    <t>SUPPORT PERSONNEL - SUMMER SCHOOL</t>
  </si>
  <si>
    <t>SUPPORT PERSONNEL - SATURDAY SCHOOL</t>
  </si>
  <si>
    <t>SOCIAL SECURITY/MEDICARE - CHOIR</t>
  </si>
  <si>
    <t>SOCIAL SECURITY/MEDICARE - SUMMER SCHOOL</t>
  </si>
  <si>
    <t>SOCIAL SECURITY/MEDICARE - SPECIAL ED - HOMEBOUND</t>
  </si>
  <si>
    <t>SOCIAL SECURITY/MEDICARE - COMPENSATORY HOMEBOUND</t>
  </si>
  <si>
    <t>SOCIAL SECURITY/MEDICARE - SATURDAY SCHOOL</t>
  </si>
  <si>
    <t>GROUP HEALTH &amp; LIFE INSURANCE - SPECIAL ED - HOMEBOUND</t>
  </si>
  <si>
    <t>WORKER'S COMPENSATION - CHOIR</t>
  </si>
  <si>
    <t>WORKER'S COMPENSATION - SUMMER SCHOOL</t>
  </si>
  <si>
    <t>WORKER'S COMPENSATION - SPECIAL ED - HOMEBOUND</t>
  </si>
  <si>
    <t>WORKER'S COMPENSATION - COMPENSATORY HOMEBOUND</t>
  </si>
  <si>
    <t>WORKER'S COMPENSATION - SATURDAY SCHOOL</t>
  </si>
  <si>
    <t>TRS ON-BEHALF - CHOIR</t>
  </si>
  <si>
    <t>TRS ON-BEHALF - SUMMER SCHOOL</t>
  </si>
  <si>
    <t>TRS ON-BEHALF - SPECIAL ED - HOMEBOUND</t>
  </si>
  <si>
    <t>TRS ON-BEHALF - COMPENSATORY HOMEBOUND</t>
  </si>
  <si>
    <t>TRS ON-BEHALF - SATURDAY SCHOOL</t>
  </si>
  <si>
    <t>62XX Totals</t>
  </si>
  <si>
    <t xml:space="preserve">PROFESSIONAL SERVICES - School Climate Grant </t>
  </si>
  <si>
    <t>PROFESSIONAL SERVICES - BAND</t>
  </si>
  <si>
    <t>PROFESSIONAL SERVICES - DRAMA</t>
  </si>
  <si>
    <t>PROFESSIONAL SERVICES - STAR</t>
  </si>
  <si>
    <t>CONTRACTED MAINT. &amp; REPAIR - BAND</t>
  </si>
  <si>
    <t>CONTRACTED MAINT. &amp; REPAIR - CERAMICS/CRAFTS</t>
  </si>
  <si>
    <t>CONTRACTED MAINT. &amp; REPAIR - CHOIR</t>
  </si>
  <si>
    <t>CONTRACTED MAINT. &amp; REPAIR - DRAMA</t>
  </si>
  <si>
    <t>CONTRACTED MAINT. &amp; REPAIR - PHOTOGRAPHY</t>
  </si>
  <si>
    <t>CONTRACTED MAINT. &amp; REPAIR - JOURNALISM</t>
  </si>
  <si>
    <t>CONTRACTED MAINT. &amp; REPAIR - MATH</t>
  </si>
  <si>
    <t xml:space="preserve">CONTRACTED MAINT. &amp; REPAIR - SCIENCE </t>
  </si>
  <si>
    <t>CONTRACTED MAINT. &amp; REPAIR - SOCIAL STUDIES</t>
  </si>
  <si>
    <t>CONTRACTED MAINT. &amp; REPAIR - AG PLANT &amp; ANIMALS</t>
  </si>
  <si>
    <t>CONTRACTED MAINT. &amp; REPAIR - AG NATURAL RESOURCES</t>
  </si>
  <si>
    <t>CONTRACTED MAINT. &amp; REPAIR - METAL</t>
  </si>
  <si>
    <t>CONTRACTED MAINT. &amp; REPAIR - ARCH &amp; CONSTRUCTION</t>
  </si>
  <si>
    <t>READING MATERIALS - JOURNALISM</t>
  </si>
  <si>
    <t>READING MATERIALS - SCIENCE</t>
  </si>
  <si>
    <t>READING MATERIALS - SOCIAL STUDIES</t>
  </si>
  <si>
    <t>CAPITAL OUTLAY LESS THAN 5,000 - TECH HARDWARE</t>
  </si>
  <si>
    <t>63XX Totals</t>
  </si>
  <si>
    <t>GENERAL SUPPLIES - CTE PROGRAM</t>
  </si>
  <si>
    <t>GENERAL SUPPLIES - ART</t>
  </si>
  <si>
    <t>GENERAL SUPPLIES - BAND</t>
  </si>
  <si>
    <t>GENERAL SUPPLIES - CERAMICS/CRAFTS</t>
  </si>
  <si>
    <t>GENERAL SUPPLIES - CHOIR</t>
  </si>
  <si>
    <t>GENERAL SUPPLIES - DRAMA</t>
  </si>
  <si>
    <t>GENERAL SUPPLIES - PHOTOGRAPHY</t>
  </si>
  <si>
    <t>GENERAL SUPPLIES - SPANISH</t>
  </si>
  <si>
    <t>GENERAL SUPPLIES - GT/AP</t>
  </si>
  <si>
    <t>GENERAL SUPPLIES - HEALTH</t>
  </si>
  <si>
    <t>GENERAL SUPPLIES - ENGLISH</t>
  </si>
  <si>
    <t>GENERAL SUPPLIES - JOURNALISM</t>
  </si>
  <si>
    <t>GENERAL SUPPLIES - DEBATE/SPEECH</t>
  </si>
  <si>
    <t>GENERAL SUPPLIES - MATH</t>
  </si>
  <si>
    <t>GENERAL SUPPLIES - P.E. BOYS</t>
  </si>
  <si>
    <t>GENERAL SUPPLIES - P.E. GIRLS</t>
  </si>
  <si>
    <t>GENERAL SUPPLIES - SCIENCE</t>
  </si>
  <si>
    <t>GENERAL SUPPLIES - SOCIAL STUDIES</t>
  </si>
  <si>
    <t>GENERAL SUPPLIES - SUMMER SCHOOL</t>
  </si>
  <si>
    <t>GENERAL SUPPLIES - COMPUTER LITERACY</t>
  </si>
  <si>
    <t>GENERAL SUPPLIES - DYSLEXIA</t>
  </si>
  <si>
    <t>GENERAL SUPPLIES - CAI INST.</t>
  </si>
  <si>
    <t>GENERAL SUPPLIES - SPEECH THERAPIST - SE</t>
  </si>
  <si>
    <t>GENERAL SUPPLIES - SPECIAL ED</t>
  </si>
  <si>
    <t>GENERAL SUPPLIES - AG PLANTS &amp; ANIMALS</t>
  </si>
  <si>
    <t xml:space="preserve">GENERAL SUPPLIES - AG NATURAL RESOURCES </t>
  </si>
  <si>
    <t>GENERAL SUPPLIES - FCS</t>
  </si>
  <si>
    <t>GENERAL SUPPLIES - HCS</t>
  </si>
  <si>
    <t>GENERAL SUPPLIES - TDL/OIL &amp; PETRO</t>
  </si>
  <si>
    <t>GENERAL SUPPLIES - METAL</t>
  </si>
  <si>
    <t>GENERAL SUPPLIES - FINANCIAL MANAGEMENT</t>
  </si>
  <si>
    <t>GENERAL SUPPLIES - ARCH &amp; CONSTRUCTION</t>
  </si>
  <si>
    <t>GENERAL SUPPLIES - MARKETING &amp; DISTRIB.</t>
  </si>
  <si>
    <t>GENERAL SUPPLIES - BUSINESS ADMIN</t>
  </si>
  <si>
    <t xml:space="preserve">GENERAL SUPPLIES - COMPUTER SCIENCE </t>
  </si>
  <si>
    <t>GENERAL SUPPLIES - STEM</t>
  </si>
  <si>
    <t>GENERAL SUPPLIES - AWARDS</t>
  </si>
  <si>
    <t>TRAVEL - EMPLOYEE ONLY - SCHOOL CLIMATE GRANT</t>
  </si>
  <si>
    <t>64XX Totals</t>
  </si>
  <si>
    <t>TOTAL INSTRUCTION</t>
  </si>
  <si>
    <t>TRAVEL - EMPLOYEE ONLY DYSLEXIA</t>
  </si>
  <si>
    <t>TRAVEL - EMPLOYEE ONLY SPECIAL ED - HOMEBOUND</t>
  </si>
  <si>
    <t>TRAVEL - EMPLOYEE ONLY COMPENSATORY HOMEBOUND</t>
  </si>
  <si>
    <t>TRAVEL - STUDENTS. GT/AP</t>
  </si>
  <si>
    <t>TRAVEL - STUDENTS. SCIENCE</t>
  </si>
  <si>
    <t>199 E 12 6219 00 999 0 11 0 12</t>
  </si>
  <si>
    <t>GENERAL SUPPLIES - MEDIA CENTER</t>
  </si>
  <si>
    <t>199 E 11 6219 00 999 0 11 0 12</t>
  </si>
  <si>
    <t>TRAVEL - EMPLOYEE ONLY MEDIA CENTER</t>
  </si>
  <si>
    <t>TOTAL INST. RESOURCES &amp; MEDIA SVCS</t>
  </si>
  <si>
    <t>TOTAL CURRICULUM DEV.&amp; INST.STF DEV</t>
  </si>
  <si>
    <t>TOTAL INSTRUCTIONAL LEADERSHIP</t>
  </si>
  <si>
    <t xml:space="preserve">TEACHER RETIREMENT/TRS CARE </t>
  </si>
  <si>
    <t>RENTALS-OTHER GRADUATION  COSTS</t>
  </si>
  <si>
    <t>GENERAL SUPPLIES GRADUATION COSTS</t>
  </si>
  <si>
    <t>TOTAL SCHOOL LEADERSHIP</t>
  </si>
  <si>
    <t>GENERAL SUPPLIES - BEHAVIOR SPECIALISTS</t>
  </si>
  <si>
    <t>GENERAL SUPPLIES - DIAGNOSTICIANS SPEC ED</t>
  </si>
  <si>
    <t>GENERAL SUPPLIES - TESTING</t>
  </si>
  <si>
    <t>TRAVEL - EMPLOYEE ONLY - BEHAVIOR SPECIALISTS</t>
  </si>
  <si>
    <t>TRAVEL - EMPLOYEE ONLY - DIAGNOSTICIANS SPEC ED</t>
  </si>
  <si>
    <t>TRAVEL - EMPLOYEE ONLY - TESTING</t>
  </si>
  <si>
    <t>TOTAL GUIDANCE &amp; COUNSELING</t>
  </si>
  <si>
    <t>TOTAL SOCIAL WORK SERVICES</t>
  </si>
  <si>
    <t>TOTAL HEALTH SERVICES</t>
  </si>
  <si>
    <t>66XX Totals</t>
  </si>
  <si>
    <t>TOTAL PUPIL TRANSPORTATION</t>
  </si>
  <si>
    <t>PROFESSIONAL SERVICES - FIELDHOUSE &amp; GYM</t>
  </si>
  <si>
    <t>PROFESSIONAL SERVICES - BAND CONTRACTED SERVICES</t>
  </si>
  <si>
    <t>PROFESSIONAL SERVICES - PLAYOFF GAMES</t>
  </si>
  <si>
    <t>PROFESSIONAL SERVICES CHOIR</t>
  </si>
  <si>
    <t>PROFESSIONAL SERVICES DRUG TESTING</t>
  </si>
  <si>
    <t>GENERAL SUPPLIES FIELDHOUSE &amp; GYM</t>
  </si>
  <si>
    <t>GENERAL SUPPLIES BAND CONTRACTED SERVICES</t>
  </si>
  <si>
    <t>GENERAL SUPPLIES CHOIR</t>
  </si>
  <si>
    <t>GENERAL SUPPLIES DRAMA</t>
  </si>
  <si>
    <t>GENERAL SUPPLIES LETTER JACKETS</t>
  </si>
  <si>
    <t>GENERAL SUPPLIES CHEERLEADERS</t>
  </si>
  <si>
    <t>GENERAL SUPPLIES UIL LITERARY</t>
  </si>
  <si>
    <t>GENERAL SUPPLIES BASEBALL</t>
  </si>
  <si>
    <t>GENERAL SUPPLIES BOYS BASKETBALL</t>
  </si>
  <si>
    <t>GENERAL SUPPLIES GIRLS BASKETBALL</t>
  </si>
  <si>
    <t>GENERAL SUPPLIES FOOTBALL</t>
  </si>
  <si>
    <t>GENERAL SUPPLIES GOLF</t>
  </si>
  <si>
    <t>GENERAL SUPPLIES TENNIS</t>
  </si>
  <si>
    <t>GENERAL SUPPLIES BOYS TRACK</t>
  </si>
  <si>
    <t>GENERAL SUPPLIES GIRLS TRACK</t>
  </si>
  <si>
    <t>GENERAL SUPPLIES VOLLEYBALL</t>
  </si>
  <si>
    <t>GENERAL SUPPLIES FIRST AID</t>
  </si>
  <si>
    <t>GENERAL SUPPLIES CROSS COUNTRY</t>
  </si>
  <si>
    <t>GENERAL SUPPLIES POWERLIFTING</t>
  </si>
  <si>
    <t>GENERAL SUPPLIES SOFTBALL</t>
  </si>
  <si>
    <t>GENERAL SUPPLIES NHS/NJHS</t>
  </si>
  <si>
    <t>GENERAL SUPPLIES STUDENT COUNCIL</t>
  </si>
  <si>
    <t>TRAVEL - EMPLOYEE ONLY AG PLANTS &amp; ANIMALS/FFA</t>
  </si>
  <si>
    <t>TRAVEL - EMPLOYEE ONLY AG NATURAL RESOURCES</t>
  </si>
  <si>
    <t>TRAVEL - EMPLOYEE ONLY UIL LITERARY</t>
  </si>
  <si>
    <t>TRAVEL - EMPLOYEE ONLY FOOTBALL</t>
  </si>
  <si>
    <t>TRAVEL - EMPLOYEE ONLY FIRST AID</t>
  </si>
  <si>
    <t>TRAVEL - STUDENTS. BAND</t>
  </si>
  <si>
    <t>TRAVEL - STUDENTS. CHOIR</t>
  </si>
  <si>
    <t>TRAVEL - STUDENTS. DRAMA</t>
  </si>
  <si>
    <t>TRAVEL - STUDENTS. CHEERLEADERS</t>
  </si>
  <si>
    <t>TRAVEL - STUDENTS. AG PLANTS &amp; ANIMALS FFA</t>
  </si>
  <si>
    <t>TRAVEL - STUDENTS. AG NATURAL RESOURCES</t>
  </si>
  <si>
    <t>TRAVEL - STUDENTS. LITERARY</t>
  </si>
  <si>
    <t>TRAVEL - STUDENTS. BASEBALL</t>
  </si>
  <si>
    <t>TRAVEL - STUDENTS. BOYS BASKETBALL</t>
  </si>
  <si>
    <t>TRAVEL - STUDENTS. GIRLS BASKETBALL</t>
  </si>
  <si>
    <t>TRAVEL - STUDENTS. FOOTBALL</t>
  </si>
  <si>
    <t>TRAVEL - STUDENTS. GOLF</t>
  </si>
  <si>
    <t>TRAVEL - STUDENTS. TENNIS</t>
  </si>
  <si>
    <t>TRAVEL - STUDENTS. BOYS TRACK</t>
  </si>
  <si>
    <t>TRAVEL - STUDENTS.GIRLS TRACK</t>
  </si>
  <si>
    <t>TRAVEL - STUDENTS. GIRLS TRACK</t>
  </si>
  <si>
    <t>TRAVEL - STUDENTS. VOLLEYBALL</t>
  </si>
  <si>
    <t>TRAVEL - STUDENTS. CROSS COUNTRY</t>
  </si>
  <si>
    <t>TRAVEL - STUDENTS. POWERLIFTING</t>
  </si>
  <si>
    <t>TRAVEL - STUDENTS. SOFTBALL</t>
  </si>
  <si>
    <t>TRAVEL - STUDENTS. STUDENT COUNCIL</t>
  </si>
  <si>
    <t>MISC.OPERATING COSTS JOURNALISM</t>
  </si>
  <si>
    <t>MISC.OPERATING COSTS FOOTBALL</t>
  </si>
  <si>
    <t>MISC.OPERATING COSTS FIRST AID</t>
  </si>
  <si>
    <t>TOTAL COCURR./EXTRACURR.ACTIVITIES</t>
  </si>
  <si>
    <t>PROFESSIONAL SERVICES Tax Collector</t>
  </si>
  <si>
    <t>GENERAL SUPPLIES Tax Collector</t>
  </si>
  <si>
    <t>TOTAL GENERAL ADMINISTRATION</t>
  </si>
  <si>
    <t>CONTRACTED MAINT. &amp; REPAIR MAINTENANCE</t>
  </si>
  <si>
    <t>UTILITIES ELECTRICITY</t>
  </si>
  <si>
    <t>UTILITIES GAS</t>
  </si>
  <si>
    <t>UTILITIES WATER/SEWER</t>
  </si>
  <si>
    <t>UTILITIES PHONE/INTERNET</t>
  </si>
  <si>
    <t>SUPPLIES FOR MAINT.&amp; OPERATION MAINTENANCE</t>
  </si>
  <si>
    <t>SUPPLIES FOR MAINT.&amp; OPERATION CUSTODIAN</t>
  </si>
  <si>
    <t>SUPPLIES FOR MAINT.&amp; OPERATION GROUNDS</t>
  </si>
  <si>
    <t>SUPPLIES FOR MAINT.&amp; OPERATION OFFICE</t>
  </si>
  <si>
    <t>TOTAL PLANT MAINTENANCE &amp; OPERATIONS</t>
  </si>
  <si>
    <t>PROFESSIONAL SERVICES SOFTWARE/SERVICES</t>
  </si>
  <si>
    <t>TOTAL DATA PROCESSING SERVICES</t>
  </si>
  <si>
    <t>TOTAL COMMUNITY SERVICES</t>
  </si>
  <si>
    <t>65XX Totals</t>
  </si>
  <si>
    <t>TOTAL DEBT SERVICES</t>
  </si>
  <si>
    <t>TOTAL FACILITIES ACQ. &amp; CONSTRUCTION</t>
  </si>
  <si>
    <t>TOTAL CONT.INST.SVCS.\PUBLIC SCHLS</t>
  </si>
  <si>
    <t>TOTAL Other Intergovernmental Charge</t>
  </si>
  <si>
    <t>TOTAL Expense</t>
  </si>
  <si>
    <t>Fund</t>
  </si>
  <si>
    <t>Function</t>
  </si>
  <si>
    <t>General Operating</t>
  </si>
  <si>
    <t>Instruction</t>
  </si>
  <si>
    <t>Library/Media</t>
  </si>
  <si>
    <t>Curriculum</t>
  </si>
  <si>
    <t>Instruction Leadership</t>
  </si>
  <si>
    <t>School Leadership</t>
  </si>
  <si>
    <t>Guidance/Counseling</t>
  </si>
  <si>
    <t>Health Services</t>
  </si>
  <si>
    <t>Transportation</t>
  </si>
  <si>
    <t>CoCurricular/Extra-Curricular</t>
  </si>
  <si>
    <t>District Adminstration</t>
  </si>
  <si>
    <t>Plant Maintenance</t>
  </si>
  <si>
    <t>Security &amp; Monitoring</t>
  </si>
  <si>
    <t>Data Processing</t>
  </si>
  <si>
    <t>Debt Service</t>
  </si>
  <si>
    <t>Facilities &amp; Acquisitions</t>
  </si>
  <si>
    <t>Contracted Instructional Services</t>
  </si>
  <si>
    <t>Other Intergovernmental</t>
  </si>
  <si>
    <t xml:space="preserve">  Total</t>
  </si>
  <si>
    <t>Food Service</t>
  </si>
  <si>
    <t>Food Services</t>
  </si>
  <si>
    <t>Debt Services</t>
  </si>
  <si>
    <t>SNYDER ISD</t>
  </si>
  <si>
    <t>2017-2018</t>
  </si>
  <si>
    <t>2017-2018 Recommended Budget</t>
  </si>
  <si>
    <t>2016-2017
Amended Budget</t>
  </si>
  <si>
    <t>2016-2017
Expended/Received as of
8/02/2017</t>
  </si>
  <si>
    <t>Revenue</t>
  </si>
  <si>
    <t>Social Work Services</t>
  </si>
  <si>
    <t>Community Services</t>
  </si>
  <si>
    <t>FUND BALANCE TRANSFER</t>
  </si>
  <si>
    <t>Obj</t>
  </si>
  <si>
    <t>240 R 00 5742 00 000 0 00 0 00</t>
  </si>
  <si>
    <t>EARNINGS FROM TEMP.INVESTMENTS</t>
  </si>
  <si>
    <t>REV/TRANSFERS</t>
  </si>
  <si>
    <t>240 R 00 5751 00 000 0 00 0 00</t>
  </si>
  <si>
    <t>FOOD SERVICE ACTIVITY</t>
  </si>
  <si>
    <t>240 R 00 5751 01 000 0 00 0 00</t>
  </si>
  <si>
    <t>240 R 00 5751 03 000 0 00 0 00</t>
  </si>
  <si>
    <t>240 R 00 5829 00 000 0 00 0 00</t>
  </si>
  <si>
    <t>STATE PROGRAM REVENUES - TEA</t>
  </si>
  <si>
    <t>240 R 00 5921 00 000 0 00 0 00</t>
  </si>
  <si>
    <t>NSLP - SCHOOL BREAKFAST</t>
  </si>
  <si>
    <t>240 R 00 5922 00 000 0 00 0 00</t>
  </si>
  <si>
    <t>NSLP - SCHOOL LUNCH</t>
  </si>
  <si>
    <t>240 R 00 5923 00 000 0 00 0 00</t>
  </si>
  <si>
    <t>USDA DONATED COMMODITIES</t>
  </si>
  <si>
    <t>240 R -- ---- -- --- - -- - --</t>
  </si>
  <si>
    <t>240 E 35 6269 00 999 0 99 0 15</t>
  </si>
  <si>
    <t>FOOD SERVICES</t>
  </si>
  <si>
    <t>240 E 35 6299 00 999 0 99 0 15</t>
  </si>
  <si>
    <t>240 E 35 6344 00 999 0 99 0 15</t>
  </si>
  <si>
    <t>240 E 35 6399 00 999 0 99 0 15</t>
  </si>
  <si>
    <t>240 E 35 6499 00 999 0 99 0 15</t>
  </si>
  <si>
    <t>240 E 35 6639 00 041 0 99 0 50</t>
  </si>
  <si>
    <t>240 E -- ---- -- --- - -- - --</t>
  </si>
  <si>
    <t>1,537,888</t>
  </si>
  <si>
    <t>1,397,624</t>
  </si>
  <si>
    <t>1,317,335</t>
  </si>
  <si>
    <t>1,999,841</t>
  </si>
  <si>
    <t>1,379,624</t>
  </si>
  <si>
    <t>1,375,791</t>
  </si>
  <si>
    <t>Total Revenue</t>
  </si>
  <si>
    <t>Total Expense</t>
  </si>
  <si>
    <t>595 R 00 5711 00 000 0 00 0 00</t>
  </si>
  <si>
    <t>595 R 00 5712 00 000 0 00 0 00</t>
  </si>
  <si>
    <t>595 R 00 5719 00 000 0 00 0 00</t>
  </si>
  <si>
    <t>595 R 00 5742 00 000 0 00 0 00</t>
  </si>
  <si>
    <t>595 R 00 5829 00 000 0 00 0 00</t>
  </si>
  <si>
    <t>595 R -- ---- -- --- - -- - --</t>
  </si>
  <si>
    <t>595 E 71 6511 00 999 0 99 0 15</t>
  </si>
  <si>
    <t>BOND PRINCIPAL</t>
  </si>
  <si>
    <t>DEBT SERVICES</t>
  </si>
  <si>
    <t>595 E 71 6521 00 999 0 99 0 15</t>
  </si>
  <si>
    <t>INTEREST ON BONDS</t>
  </si>
  <si>
    <t>595 E 71 6599 00 999 0 99 0 15</t>
  </si>
  <si>
    <t>OTHER DEBT SERVICE FEES</t>
  </si>
  <si>
    <t>595 E -- ---- -- --- - -- - --</t>
  </si>
  <si>
    <t xml:space="preserve">EXTRA DUTY PAY/OVERTIME </t>
  </si>
  <si>
    <t xml:space="preserve">SUPPORT PERSONNEL </t>
  </si>
  <si>
    <t xml:space="preserve">SOCIAL SECURITY/MEDICARE </t>
  </si>
  <si>
    <t xml:space="preserve">GROUP HEALTH &amp; LIFE INSURANCE </t>
  </si>
  <si>
    <t xml:space="preserve">WORKER'S COMPENSATION </t>
  </si>
  <si>
    <t>Capital Outlay</t>
  </si>
  <si>
    <t>-</t>
  </si>
  <si>
    <t>Recommended 
Budget 
With 3% Raise</t>
  </si>
  <si>
    <t>Stipends</t>
  </si>
  <si>
    <t xml:space="preserve">Stipends </t>
  </si>
  <si>
    <t>Stipend only</t>
  </si>
  <si>
    <t>Stipends Only</t>
  </si>
  <si>
    <t>Stipend Only</t>
  </si>
  <si>
    <t>SNYDER INDEPENDENT SCHOOL DISTRICT</t>
  </si>
  <si>
    <t>Governmental Fund Types</t>
  </si>
  <si>
    <t xml:space="preserve">Debt </t>
  </si>
  <si>
    <t xml:space="preserve">Food </t>
  </si>
  <si>
    <t>General</t>
  </si>
  <si>
    <t>Service</t>
  </si>
  <si>
    <t>Revenues:</t>
  </si>
  <si>
    <t>Local and Intermediate Sources</t>
  </si>
  <si>
    <t>State Program Revenues</t>
  </si>
  <si>
    <t>TOTAL REVENUES</t>
  </si>
  <si>
    <t>Expenditures:</t>
  </si>
  <si>
    <t>Instruction and Instruction-Related Services</t>
  </si>
  <si>
    <t>Instructional Resources and Media Services</t>
  </si>
  <si>
    <t>Curriculum and Instructional Staff Develop</t>
  </si>
  <si>
    <t>Instructional Leadership</t>
  </si>
  <si>
    <t>Guidance, Counseling and Evaluation Services</t>
  </si>
  <si>
    <t>Student Transportation</t>
  </si>
  <si>
    <t>Cocurricular/Extracurricular Activities</t>
  </si>
  <si>
    <t>General Administration</t>
  </si>
  <si>
    <t>Plant Maintenance and Operations</t>
  </si>
  <si>
    <t>Security and Monitoring Services</t>
  </si>
  <si>
    <t>Data Processing Services</t>
  </si>
  <si>
    <t>Principal on Long-Term Debt</t>
  </si>
  <si>
    <t>Interest on Long-Term Debt</t>
  </si>
  <si>
    <t>Bond Issuance Costs and Fees</t>
  </si>
  <si>
    <t>Contracted Instructional Services - Schools</t>
  </si>
  <si>
    <t>Incremental Costs Associated w/ Chapter 41</t>
  </si>
  <si>
    <t>Payments to Member Districts of SSA</t>
  </si>
  <si>
    <t>Other Intergovernmental Charge</t>
  </si>
  <si>
    <t>TOTAL EXPENDITURES</t>
  </si>
  <si>
    <t>Excess (Deficiency) of Revenues</t>
  </si>
  <si>
    <t xml:space="preserve">   Over (Under) Expenditures</t>
  </si>
  <si>
    <t>Fiscal Year 2017-2018</t>
  </si>
  <si>
    <t>Misc. Local Revenue</t>
  </si>
  <si>
    <t>* TRS On-Behalf - State Contributions  $783,328.39</t>
  </si>
  <si>
    <t>Adopted Budget - Summary</t>
  </si>
  <si>
    <t>ADOPTED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</si>
</sst>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35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12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2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108">
    <xf numFmtId="0" fontId="0" fillId="0" borderId="0" xfId="0"/>
    <xf numFmtId="0" fontId="18" fillId="0" borderId="0" xfId="0" applyFont="1"/>
    <xf numFmtId="0" fontId="19" fillId="0" borderId="0" xfId="0" applyFont="1" applyAlignment="1">
      <alignment horizontal="center"/>
    </xf>
    <xf numFmtId="0" fontId="19" fillId="0" borderId="0" xfId="0" applyFont="1"/>
    <xf numFmtId="43" fontId="18" fillId="0" borderId="0" xfId="1" applyFont="1"/>
    <xf numFmtId="43" fontId="18" fillId="0" borderId="10" xfId="1" applyFont="1" applyBorder="1"/>
    <xf numFmtId="43" fontId="19" fillId="0" borderId="0" xfId="1" applyFont="1"/>
    <xf numFmtId="0" fontId="19" fillId="0" borderId="0" xfId="0" applyFont="1" applyFill="1"/>
    <xf numFmtId="43" fontId="19" fillId="0" borderId="0" xfId="1" applyFont="1" applyFill="1"/>
    <xf numFmtId="0" fontId="19" fillId="0" borderId="10" xfId="0" applyFont="1" applyBorder="1"/>
    <xf numFmtId="0" fontId="19" fillId="0" borderId="10" xfId="0" applyFont="1" applyBorder="1" applyAlignment="1">
      <alignment horizontal="center"/>
    </xf>
    <xf numFmtId="43" fontId="19" fillId="0" borderId="10" xfId="1" applyFont="1" applyFill="1" applyBorder="1" applyAlignment="1">
      <alignment horizontal="center" wrapText="1"/>
    </xf>
    <xf numFmtId="43" fontId="19" fillId="0" borderId="0" xfId="1" applyFont="1" applyFill="1" applyBorder="1" applyAlignment="1">
      <alignment horizontal="center"/>
    </xf>
    <xf numFmtId="43" fontId="18" fillId="0" borderId="0" xfId="1" applyFont="1" applyFill="1" applyBorder="1"/>
    <xf numFmtId="43" fontId="19" fillId="0" borderId="0" xfId="1" applyFont="1" applyFill="1" applyBorder="1"/>
    <xf numFmtId="43" fontId="19" fillId="0" borderId="0" xfId="0" applyNumberFormat="1" applyFont="1" applyFill="1"/>
    <xf numFmtId="43" fontId="19" fillId="0" borderId="10" xfId="1" applyFont="1" applyBorder="1"/>
    <xf numFmtId="43" fontId="19" fillId="0" borderId="10" xfId="1" applyFont="1" applyFill="1" applyBorder="1"/>
    <xf numFmtId="0" fontId="24" fillId="0" borderId="0" xfId="0" applyFont="1"/>
    <xf numFmtId="0" fontId="25" fillId="0" borderId="0" xfId="0" applyFont="1"/>
    <xf numFmtId="0" fontId="23" fillId="0" borderId="11" xfId="0" applyFont="1" applyBorder="1" applyAlignment="1">
      <alignment horizontal="center" wrapText="1"/>
    </xf>
    <xf numFmtId="0" fontId="26" fillId="0" borderId="0" xfId="0" applyFont="1" applyAlignment="1">
      <alignment wrapText="1"/>
    </xf>
    <xf numFmtId="0" fontId="25" fillId="0" borderId="12" xfId="0" applyFont="1" applyBorder="1"/>
    <xf numFmtId="0" fontId="23" fillId="0" borderId="13" xfId="0" applyFont="1" applyBorder="1"/>
    <xf numFmtId="0" fontId="26" fillId="0" borderId="0" xfId="0" applyFont="1"/>
    <xf numFmtId="0" fontId="25" fillId="0" borderId="15" xfId="0" applyFont="1" applyBorder="1"/>
    <xf numFmtId="41" fontId="25" fillId="0" borderId="15" xfId="0" applyNumberFormat="1" applyFont="1" applyBorder="1"/>
    <xf numFmtId="0" fontId="25" fillId="0" borderId="15" xfId="0" applyFont="1" applyBorder="1" applyAlignment="1"/>
    <xf numFmtId="42" fontId="25" fillId="0" borderId="0" xfId="0" applyNumberFormat="1" applyFont="1"/>
    <xf numFmtId="0" fontId="25" fillId="0" borderId="16" xfId="0" applyFont="1" applyBorder="1"/>
    <xf numFmtId="0" fontId="25" fillId="0" borderId="17" xfId="0" applyFont="1" applyBorder="1"/>
    <xf numFmtId="42" fontId="25" fillId="0" borderId="18" xfId="0" applyNumberFormat="1" applyFont="1" applyBorder="1"/>
    <xf numFmtId="42" fontId="25" fillId="0" borderId="11" xfId="0" applyNumberFormat="1" applyFont="1" applyBorder="1"/>
    <xf numFmtId="41" fontId="25" fillId="0" borderId="12" xfId="0" applyNumberFormat="1" applyFont="1" applyBorder="1"/>
    <xf numFmtId="0" fontId="23" fillId="0" borderId="17" xfId="0" applyFont="1" applyBorder="1"/>
    <xf numFmtId="164" fontId="25" fillId="0" borderId="17" xfId="43" applyNumberFormat="1" applyFont="1" applyBorder="1"/>
    <xf numFmtId="0" fontId="25" fillId="0" borderId="10" xfId="0" applyFont="1" applyBorder="1"/>
    <xf numFmtId="0" fontId="25" fillId="0" borderId="0" xfId="0" applyFont="1" applyBorder="1"/>
    <xf numFmtId="42" fontId="25" fillId="0" borderId="0" xfId="0" applyNumberFormat="1" applyFont="1" applyBorder="1"/>
    <xf numFmtId="0" fontId="27" fillId="0" borderId="0" xfId="0" applyFont="1"/>
    <xf numFmtId="41" fontId="25" fillId="0" borderId="0" xfId="0" applyNumberFormat="1" applyFont="1"/>
    <xf numFmtId="41" fontId="24" fillId="0" borderId="0" xfId="0" applyNumberFormat="1" applyFont="1"/>
    <xf numFmtId="42" fontId="25" fillId="0" borderId="20" xfId="0" applyNumberFormat="1" applyFont="1" applyBorder="1"/>
    <xf numFmtId="0" fontId="23" fillId="0" borderId="12" xfId="0" applyFont="1" applyBorder="1" applyAlignment="1">
      <alignment horizontal="center"/>
    </xf>
    <xf numFmtId="43" fontId="25" fillId="0" borderId="15" xfId="0" applyNumberFormat="1" applyFont="1" applyBorder="1"/>
    <xf numFmtId="43" fontId="25" fillId="0" borderId="15" xfId="0" applyNumberFormat="1" applyFont="1" applyBorder="1" applyAlignment="1"/>
    <xf numFmtId="0" fontId="23" fillId="0" borderId="19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43" fontId="25" fillId="0" borderId="21" xfId="0" applyNumberFormat="1" applyFont="1" applyBorder="1"/>
    <xf numFmtId="0" fontId="25" fillId="0" borderId="14" xfId="0" applyFont="1" applyBorder="1"/>
    <xf numFmtId="43" fontId="18" fillId="33" borderId="0" xfId="1" applyFont="1" applyFill="1"/>
    <xf numFmtId="0" fontId="23" fillId="0" borderId="13" xfId="0" applyFont="1" applyBorder="1" applyAlignment="1">
      <alignment horizontal="center"/>
    </xf>
    <xf numFmtId="0" fontId="25" fillId="0" borderId="12" xfId="0" applyFont="1" applyBorder="1" applyAlignment="1">
      <alignment horizontal="left"/>
    </xf>
    <xf numFmtId="43" fontId="25" fillId="0" borderId="17" xfId="0" applyNumberFormat="1" applyFont="1" applyBorder="1" applyAlignment="1">
      <alignment horizontal="center"/>
    </xf>
    <xf numFmtId="43" fontId="25" fillId="0" borderId="17" xfId="0" applyNumberFormat="1" applyFont="1" applyBorder="1"/>
    <xf numFmtId="0" fontId="25" fillId="0" borderId="10" xfId="0" applyFont="1" applyBorder="1" applyAlignment="1">
      <alignment horizontal="left"/>
    </xf>
    <xf numFmtId="43" fontId="20" fillId="0" borderId="10" xfId="1" applyFont="1" applyBorder="1"/>
    <xf numFmtId="43" fontId="25" fillId="0" borderId="10" xfId="0" applyNumberFormat="1" applyFont="1" applyBorder="1" applyAlignment="1">
      <alignment horizontal="center"/>
    </xf>
    <xf numFmtId="43" fontId="25" fillId="0" borderId="10" xfId="0" applyNumberFormat="1" applyFont="1" applyBorder="1"/>
    <xf numFmtId="164" fontId="25" fillId="0" borderId="17" xfId="43" applyNumberFormat="1" applyFont="1" applyBorder="1" applyAlignment="1">
      <alignment horizontal="center"/>
    </xf>
    <xf numFmtId="164" fontId="25" fillId="0" borderId="18" xfId="43" applyNumberFormat="1" applyFont="1" applyBorder="1" applyAlignment="1">
      <alignment horizontal="center"/>
    </xf>
    <xf numFmtId="0" fontId="18" fillId="0" borderId="17" xfId="0" applyFont="1" applyBorder="1"/>
    <xf numFmtId="43" fontId="18" fillId="0" borderId="17" xfId="1" applyFont="1" applyBorder="1"/>
    <xf numFmtId="43" fontId="18" fillId="0" borderId="17" xfId="1" applyFont="1" applyFill="1" applyBorder="1"/>
    <xf numFmtId="43" fontId="20" fillId="0" borderId="17" xfId="1" applyFont="1" applyBorder="1"/>
    <xf numFmtId="43" fontId="18" fillId="0" borderId="22" xfId="1" applyFont="1" applyBorder="1"/>
    <xf numFmtId="43" fontId="18" fillId="0" borderId="22" xfId="1" applyFont="1" applyFill="1" applyBorder="1"/>
    <xf numFmtId="0" fontId="21" fillId="0" borderId="17" xfId="0" applyFont="1" applyBorder="1"/>
    <xf numFmtId="43" fontId="21" fillId="0" borderId="17" xfId="1" applyFont="1" applyFill="1" applyBorder="1" applyAlignment="1">
      <alignment horizontal="right" wrapText="1"/>
    </xf>
    <xf numFmtId="43" fontId="18" fillId="0" borderId="17" xfId="1" applyFont="1" applyFill="1" applyBorder="1" applyAlignment="1">
      <alignment wrapText="1"/>
    </xf>
    <xf numFmtId="43" fontId="21" fillId="0" borderId="22" xfId="1" applyFont="1" applyFill="1" applyBorder="1" applyAlignment="1">
      <alignment horizontal="right" wrapText="1"/>
    </xf>
    <xf numFmtId="43" fontId="19" fillId="0" borderId="22" xfId="1" applyFont="1" applyBorder="1"/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0" fontId="18" fillId="0" borderId="17" xfId="0" applyFont="1" applyFill="1" applyBorder="1"/>
    <xf numFmtId="43" fontId="20" fillId="0" borderId="17" xfId="1" applyFont="1" applyFill="1" applyBorder="1"/>
    <xf numFmtId="43" fontId="18" fillId="0" borderId="17" xfId="0" applyNumberFormat="1" applyFont="1" applyBorder="1"/>
    <xf numFmtId="0" fontId="18" fillId="33" borderId="0" xfId="0" applyFont="1" applyFill="1"/>
    <xf numFmtId="0" fontId="31" fillId="0" borderId="0" xfId="0" applyFont="1" applyAlignment="1">
      <alignment horizontal="center"/>
    </xf>
    <xf numFmtId="0" fontId="32" fillId="0" borderId="0" xfId="0" applyFont="1" applyBorder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center"/>
    </xf>
    <xf numFmtId="0" fontId="33" fillId="0" borderId="0" xfId="0" applyFont="1" applyBorder="1" applyAlignment="1">
      <alignment horizontal="center"/>
    </xf>
    <xf numFmtId="0" fontId="34" fillId="0" borderId="0" xfId="0" applyFont="1"/>
    <xf numFmtId="0" fontId="33" fillId="0" borderId="23" xfId="0" applyFont="1" applyBorder="1" applyAlignment="1">
      <alignment horizontal="center"/>
    </xf>
    <xf numFmtId="164" fontId="34" fillId="0" borderId="0" xfId="0" applyNumberFormat="1" applyFont="1"/>
    <xf numFmtId="0" fontId="33" fillId="0" borderId="0" xfId="0" applyFont="1" applyBorder="1"/>
    <xf numFmtId="0" fontId="32" fillId="0" borderId="0" xfId="0" applyFont="1"/>
    <xf numFmtId="164" fontId="33" fillId="0" borderId="0" xfId="43" applyNumberFormat="1" applyFont="1"/>
    <xf numFmtId="164" fontId="33" fillId="0" borderId="0" xfId="43" applyNumberFormat="1" applyFont="1" applyFill="1"/>
    <xf numFmtId="42" fontId="33" fillId="0" borderId="12" xfId="1" applyNumberFormat="1" applyFont="1" applyBorder="1"/>
    <xf numFmtId="42" fontId="33" fillId="0" borderId="0" xfId="1" applyNumberFormat="1" applyFont="1" applyBorder="1"/>
    <xf numFmtId="165" fontId="33" fillId="0" borderId="12" xfId="1" applyNumberFormat="1" applyFont="1" applyBorder="1"/>
    <xf numFmtId="165" fontId="33" fillId="0" borderId="0" xfId="1" applyNumberFormat="1" applyFont="1" applyBorder="1"/>
    <xf numFmtId="165" fontId="33" fillId="0" borderId="0" xfId="1" applyNumberFormat="1" applyFont="1"/>
    <xf numFmtId="0" fontId="33" fillId="0" borderId="0" xfId="0" quotePrefix="1" applyFont="1" applyAlignment="1">
      <alignment horizontal="center"/>
    </xf>
    <xf numFmtId="42" fontId="34" fillId="0" borderId="0" xfId="0" applyNumberFormat="1" applyFont="1"/>
    <xf numFmtId="0" fontId="33" fillId="0" borderId="0" xfId="0" applyFont="1" applyAlignment="1">
      <alignment horizontal="left"/>
    </xf>
    <xf numFmtId="42" fontId="33" fillId="0" borderId="24" xfId="1" applyNumberFormat="1" applyFont="1" applyBorder="1"/>
    <xf numFmtId="165" fontId="34" fillId="0" borderId="0" xfId="1" applyNumberFormat="1" applyFont="1"/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23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14" xfId="0" applyFont="1" applyBorder="1" applyAlignment="1">
      <alignment horizontal="center"/>
    </xf>
  </cellXfs>
  <cellStyles count="112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urrency" xfId="43" builtinId="4"/>
    <cellStyle name="Explanatory Text" xfId="17" builtinId="53" customBuilti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tabSelected="1" workbookViewId="0">
      <selection activeCell="B25" sqref="B25"/>
    </sheetView>
  </sheetViews>
  <sheetFormatPr defaultRowHeight="15" x14ac:dyDescent="0.25"/>
  <cols>
    <col min="1" max="1" width="5.42578125" customWidth="1"/>
    <col min="2" max="2" width="40.7109375" customWidth="1"/>
    <col min="3" max="3" width="12.7109375" customWidth="1"/>
    <col min="4" max="4" width="1.7109375" customWidth="1"/>
    <col min="5" max="5" width="12.7109375" customWidth="1"/>
    <col min="6" max="6" width="1.7109375" customWidth="1"/>
    <col min="7" max="7" width="12.7109375" customWidth="1"/>
    <col min="9" max="9" width="10.140625" bestFit="1" customWidth="1"/>
    <col min="11" max="11" width="12" bestFit="1" customWidth="1"/>
  </cols>
  <sheetData>
    <row r="1" spans="1:12" x14ac:dyDescent="0.25">
      <c r="A1" s="101" t="s">
        <v>1560</v>
      </c>
      <c r="B1" s="101"/>
      <c r="C1" s="101"/>
      <c r="D1" s="101"/>
      <c r="E1" s="101"/>
      <c r="F1" s="101"/>
      <c r="G1" s="101"/>
    </row>
    <row r="2" spans="1:12" x14ac:dyDescent="0.25">
      <c r="A2" s="102" t="s">
        <v>1595</v>
      </c>
      <c r="B2" s="102"/>
      <c r="C2" s="102"/>
      <c r="D2" s="102"/>
      <c r="E2" s="102"/>
      <c r="F2" s="102"/>
      <c r="G2" s="102"/>
    </row>
    <row r="3" spans="1:12" x14ac:dyDescent="0.25">
      <c r="A3" s="102" t="s">
        <v>1592</v>
      </c>
      <c r="B3" s="102"/>
      <c r="C3" s="102"/>
      <c r="D3" s="102"/>
      <c r="E3" s="102"/>
      <c r="F3" s="102"/>
      <c r="G3" s="102"/>
    </row>
    <row r="4" spans="1:12" x14ac:dyDescent="0.25">
      <c r="A4" s="79"/>
      <c r="B4" s="79"/>
      <c r="C4" s="79"/>
      <c r="D4" s="79"/>
      <c r="E4" s="79"/>
      <c r="F4" s="79"/>
      <c r="G4" s="79"/>
    </row>
    <row r="5" spans="1:12" ht="15.75" thickBot="1" x14ac:dyDescent="0.3">
      <c r="A5" s="79"/>
      <c r="B5" s="79"/>
      <c r="C5" s="103" t="s">
        <v>1561</v>
      </c>
      <c r="D5" s="103"/>
      <c r="E5" s="103"/>
      <c r="F5" s="103"/>
      <c r="G5" s="103"/>
    </row>
    <row r="6" spans="1:12" ht="13.5" customHeight="1" x14ac:dyDescent="0.25">
      <c r="A6" s="80"/>
      <c r="B6" s="81"/>
      <c r="C6" s="82"/>
      <c r="D6" s="83"/>
      <c r="E6" s="82" t="s">
        <v>1562</v>
      </c>
      <c r="F6" s="82"/>
      <c r="G6" s="82" t="s">
        <v>1563</v>
      </c>
      <c r="H6" s="84"/>
      <c r="I6" s="84"/>
      <c r="J6" s="84"/>
      <c r="K6" s="84"/>
      <c r="L6" s="84"/>
    </row>
    <row r="7" spans="1:12" ht="13.5" customHeight="1" x14ac:dyDescent="0.25">
      <c r="A7" s="80"/>
      <c r="B7" s="81"/>
      <c r="C7" s="82" t="s">
        <v>1564</v>
      </c>
      <c r="D7" s="83"/>
      <c r="E7" s="82" t="s">
        <v>1565</v>
      </c>
      <c r="F7" s="83"/>
      <c r="G7" s="82" t="s">
        <v>1565</v>
      </c>
      <c r="H7" s="84"/>
      <c r="I7" s="84"/>
      <c r="J7" s="84"/>
      <c r="K7" s="84"/>
      <c r="L7" s="84"/>
    </row>
    <row r="8" spans="1:12" ht="13.5" customHeight="1" thickBot="1" x14ac:dyDescent="0.3">
      <c r="A8" s="80"/>
      <c r="B8" s="81"/>
      <c r="C8" s="85" t="s">
        <v>1467</v>
      </c>
      <c r="D8" s="83"/>
      <c r="E8" s="85" t="s">
        <v>1467</v>
      </c>
      <c r="F8" s="83"/>
      <c r="G8" s="85" t="s">
        <v>1467</v>
      </c>
      <c r="H8" s="84"/>
      <c r="I8" s="84"/>
      <c r="J8" s="84"/>
      <c r="K8" s="86"/>
      <c r="L8" s="84"/>
    </row>
    <row r="9" spans="1:12" ht="13.5" customHeight="1" x14ac:dyDescent="0.25">
      <c r="A9" s="81"/>
      <c r="B9" s="81"/>
      <c r="C9" s="81"/>
      <c r="D9" s="87"/>
      <c r="E9" s="81"/>
      <c r="F9" s="87"/>
      <c r="G9" s="81"/>
      <c r="H9" s="84"/>
      <c r="I9" s="84"/>
      <c r="J9" s="84"/>
      <c r="K9" s="84"/>
      <c r="L9" s="84"/>
    </row>
    <row r="10" spans="1:12" ht="13.5" customHeight="1" x14ac:dyDescent="0.25">
      <c r="A10" s="88" t="s">
        <v>1566</v>
      </c>
      <c r="B10" s="81"/>
      <c r="C10" s="81"/>
      <c r="D10" s="87"/>
      <c r="E10" s="81"/>
      <c r="F10" s="87"/>
      <c r="G10" s="81"/>
      <c r="H10" s="84"/>
      <c r="I10" s="84"/>
      <c r="J10" s="84"/>
      <c r="K10" s="84"/>
      <c r="L10" s="84"/>
    </row>
    <row r="11" spans="1:12" ht="13.5" customHeight="1" x14ac:dyDescent="0.25">
      <c r="A11" s="82">
        <v>5700</v>
      </c>
      <c r="B11" s="81" t="s">
        <v>1567</v>
      </c>
      <c r="C11" s="89">
        <f>Detail!H3+Detail!H4+Detail!H5</f>
        <v>21566515</v>
      </c>
      <c r="D11" s="89">
        <v>0</v>
      </c>
      <c r="E11" s="90">
        <f>'Debt Service'!H8</f>
        <v>2225000</v>
      </c>
      <c r="F11" s="89">
        <v>0</v>
      </c>
      <c r="G11" s="89">
        <v>441903</v>
      </c>
      <c r="H11" s="84"/>
      <c r="I11" s="84"/>
      <c r="J11" s="84"/>
      <c r="K11" s="84"/>
      <c r="L11" s="84"/>
    </row>
    <row r="12" spans="1:12" ht="13.5" customHeight="1" x14ac:dyDescent="0.25">
      <c r="A12" s="82">
        <v>5800</v>
      </c>
      <c r="B12" s="81" t="s">
        <v>1568</v>
      </c>
      <c r="C12" s="89">
        <f>Detail!H17+Detail!H18+Detail!H20+Detail!H22+Detail!H24</f>
        <v>2326964.39</v>
      </c>
      <c r="D12" s="89">
        <v>0</v>
      </c>
      <c r="E12" s="89">
        <v>0</v>
      </c>
      <c r="F12" s="89">
        <v>0</v>
      </c>
      <c r="G12" s="89">
        <v>7154</v>
      </c>
      <c r="H12" s="84"/>
      <c r="I12" s="84"/>
      <c r="J12" s="84"/>
      <c r="K12" s="84"/>
      <c r="L12" s="84"/>
    </row>
    <row r="13" spans="1:12" ht="13.5" customHeight="1" x14ac:dyDescent="0.25">
      <c r="A13" s="82">
        <v>5900</v>
      </c>
      <c r="B13" s="81" t="s">
        <v>1593</v>
      </c>
      <c r="C13" s="89">
        <f>Detail!H8+Detail!H9+Detail!H12+Detail!H13+Detail!H15</f>
        <v>1128000</v>
      </c>
      <c r="D13" s="89">
        <v>0</v>
      </c>
      <c r="E13" s="89">
        <v>0</v>
      </c>
      <c r="F13" s="89">
        <v>0</v>
      </c>
      <c r="G13" s="89">
        <v>948567</v>
      </c>
      <c r="H13" s="84"/>
      <c r="I13" s="84"/>
      <c r="J13" s="84"/>
      <c r="K13" s="84"/>
      <c r="L13" s="84"/>
    </row>
    <row r="14" spans="1:12" ht="13.5" customHeight="1" x14ac:dyDescent="0.25">
      <c r="A14" s="82">
        <v>5020</v>
      </c>
      <c r="B14" s="81" t="s">
        <v>1569</v>
      </c>
      <c r="C14" s="91">
        <f t="shared" ref="C14:E14" si="0">SUM(C11:C13)</f>
        <v>25021479.390000001</v>
      </c>
      <c r="D14" s="92"/>
      <c r="E14" s="93">
        <f t="shared" si="0"/>
        <v>2225000</v>
      </c>
      <c r="F14" s="94"/>
      <c r="G14" s="93">
        <f>SUM(G11:G13)</f>
        <v>1397624</v>
      </c>
      <c r="H14" s="84"/>
      <c r="I14" s="84"/>
      <c r="J14" s="84"/>
      <c r="K14" s="84"/>
      <c r="L14" s="84"/>
    </row>
    <row r="15" spans="1:12" ht="13.5" customHeight="1" x14ac:dyDescent="0.25">
      <c r="A15" s="81"/>
      <c r="B15" s="81"/>
      <c r="C15" s="95"/>
      <c r="D15" s="94"/>
      <c r="E15" s="95"/>
      <c r="F15" s="94"/>
      <c r="G15" s="95"/>
      <c r="H15" s="84"/>
      <c r="I15" s="84"/>
      <c r="J15" s="84"/>
      <c r="K15" s="84"/>
      <c r="L15" s="84"/>
    </row>
    <row r="16" spans="1:12" ht="13.5" customHeight="1" x14ac:dyDescent="0.25">
      <c r="A16" s="88" t="s">
        <v>1570</v>
      </c>
      <c r="B16" s="81"/>
      <c r="C16" s="95"/>
      <c r="D16" s="94"/>
      <c r="E16" s="95"/>
      <c r="F16" s="94"/>
      <c r="G16" s="95"/>
      <c r="H16" s="84"/>
      <c r="I16" s="84"/>
      <c r="J16" s="84"/>
      <c r="K16" s="84"/>
      <c r="L16" s="84"/>
    </row>
    <row r="17" spans="1:12" ht="13.5" customHeight="1" x14ac:dyDescent="0.25">
      <c r="A17" s="96">
        <v>11</v>
      </c>
      <c r="B17" s="81" t="s">
        <v>1571</v>
      </c>
      <c r="C17" s="89">
        <f>Summary!F9</f>
        <v>11582413.936462689</v>
      </c>
      <c r="D17" s="89">
        <v>0</v>
      </c>
      <c r="E17" s="89">
        <v>0</v>
      </c>
      <c r="F17" s="89">
        <v>0</v>
      </c>
      <c r="G17" s="89">
        <v>0</v>
      </c>
      <c r="H17" s="84"/>
      <c r="I17" s="84"/>
      <c r="J17" s="84"/>
      <c r="K17" s="84"/>
      <c r="L17" s="84"/>
    </row>
    <row r="18" spans="1:12" ht="13.5" customHeight="1" x14ac:dyDescent="0.25">
      <c r="A18" s="96">
        <v>12</v>
      </c>
      <c r="B18" s="81" t="s">
        <v>1572</v>
      </c>
      <c r="C18" s="89">
        <f>Summary!F10</f>
        <v>587104.19684899994</v>
      </c>
      <c r="D18" s="89">
        <v>0</v>
      </c>
      <c r="E18" s="89">
        <v>0</v>
      </c>
      <c r="F18" s="89">
        <v>0</v>
      </c>
      <c r="G18" s="89">
        <v>0</v>
      </c>
      <c r="H18" s="84"/>
      <c r="I18" s="84"/>
      <c r="J18" s="84"/>
      <c r="K18" s="84"/>
      <c r="L18" s="84"/>
    </row>
    <row r="19" spans="1:12" ht="13.5" customHeight="1" x14ac:dyDescent="0.25">
      <c r="A19" s="96">
        <v>13</v>
      </c>
      <c r="B19" s="81" t="s">
        <v>1573</v>
      </c>
      <c r="C19" s="89">
        <f>Summary!F11</f>
        <v>54136.75</v>
      </c>
      <c r="D19" s="89">
        <v>0</v>
      </c>
      <c r="E19" s="89">
        <v>0</v>
      </c>
      <c r="F19" s="89">
        <v>0</v>
      </c>
      <c r="G19" s="89">
        <v>0</v>
      </c>
      <c r="H19" s="84"/>
      <c r="I19" s="84"/>
      <c r="J19" s="84"/>
      <c r="K19" s="84"/>
      <c r="L19" s="84"/>
    </row>
    <row r="20" spans="1:12" ht="13.5" customHeight="1" x14ac:dyDescent="0.25">
      <c r="A20" s="96">
        <v>21</v>
      </c>
      <c r="B20" s="81" t="s">
        <v>1574</v>
      </c>
      <c r="C20" s="89">
        <f>Summary!F12</f>
        <v>402278.22964099993</v>
      </c>
      <c r="D20" s="89">
        <v>0</v>
      </c>
      <c r="E20" s="89">
        <v>0</v>
      </c>
      <c r="F20" s="89">
        <v>0</v>
      </c>
      <c r="G20" s="89">
        <v>0</v>
      </c>
      <c r="H20" s="84"/>
      <c r="I20" s="84"/>
      <c r="J20" s="84"/>
      <c r="K20" s="84"/>
      <c r="L20" s="84"/>
    </row>
    <row r="21" spans="1:12" ht="13.5" customHeight="1" x14ac:dyDescent="0.25">
      <c r="A21" s="96">
        <v>23</v>
      </c>
      <c r="B21" s="81" t="s">
        <v>1474</v>
      </c>
      <c r="C21" s="89">
        <f>Summary!F13</f>
        <v>1307658.3228386997</v>
      </c>
      <c r="D21" s="89">
        <v>0</v>
      </c>
      <c r="E21" s="89">
        <v>0</v>
      </c>
      <c r="F21" s="89">
        <v>0</v>
      </c>
      <c r="G21" s="89">
        <v>0</v>
      </c>
      <c r="H21" s="84"/>
      <c r="I21" s="84"/>
      <c r="J21" s="84"/>
      <c r="K21" s="84"/>
      <c r="L21" s="84"/>
    </row>
    <row r="22" spans="1:12" ht="13.5" customHeight="1" x14ac:dyDescent="0.25">
      <c r="A22" s="96">
        <v>31</v>
      </c>
      <c r="B22" s="81" t="s">
        <v>1575</v>
      </c>
      <c r="C22" s="89">
        <f>Summary!F14</f>
        <v>638195.93937075033</v>
      </c>
      <c r="D22" s="89">
        <v>0</v>
      </c>
      <c r="E22" s="89">
        <v>0</v>
      </c>
      <c r="F22" s="89">
        <v>0</v>
      </c>
      <c r="G22" s="89">
        <v>0</v>
      </c>
      <c r="H22" s="84"/>
      <c r="I22" s="84"/>
      <c r="J22" s="89"/>
      <c r="K22" s="97"/>
      <c r="L22" s="84"/>
    </row>
    <row r="23" spans="1:12" ht="13.5" customHeight="1" x14ac:dyDescent="0.25">
      <c r="A23" s="96">
        <v>32</v>
      </c>
      <c r="B23" s="81" t="s">
        <v>1497</v>
      </c>
      <c r="C23" s="89">
        <f>Summary!F15</f>
        <v>7986</v>
      </c>
      <c r="D23" s="89">
        <v>0</v>
      </c>
      <c r="E23" s="89">
        <v>0</v>
      </c>
      <c r="F23" s="89">
        <v>0</v>
      </c>
      <c r="G23" s="89">
        <v>0</v>
      </c>
      <c r="H23" s="84"/>
      <c r="I23" s="84"/>
      <c r="J23" s="84"/>
      <c r="K23" s="84"/>
      <c r="L23" s="84"/>
    </row>
    <row r="24" spans="1:12" ht="13.5" customHeight="1" x14ac:dyDescent="0.25">
      <c r="A24" s="96">
        <v>33</v>
      </c>
      <c r="B24" s="81" t="s">
        <v>1476</v>
      </c>
      <c r="C24" s="89">
        <f>Summary!F16</f>
        <v>212510.66815350001</v>
      </c>
      <c r="D24" s="89">
        <v>0</v>
      </c>
      <c r="E24" s="89">
        <v>0</v>
      </c>
      <c r="F24" s="89">
        <v>0</v>
      </c>
      <c r="G24" s="89">
        <v>0</v>
      </c>
      <c r="H24" s="84"/>
      <c r="I24" s="84"/>
      <c r="J24" s="84"/>
      <c r="K24" s="84"/>
      <c r="L24" s="84"/>
    </row>
    <row r="25" spans="1:12" ht="13.5" customHeight="1" x14ac:dyDescent="0.25">
      <c r="A25" s="96">
        <v>34</v>
      </c>
      <c r="B25" s="81" t="s">
        <v>1576</v>
      </c>
      <c r="C25" s="89">
        <f>Summary!F17</f>
        <v>737802.97008599993</v>
      </c>
      <c r="D25" s="89">
        <v>0</v>
      </c>
      <c r="E25" s="89">
        <v>0</v>
      </c>
      <c r="F25" s="89">
        <v>0</v>
      </c>
      <c r="G25" s="89">
        <v>0</v>
      </c>
      <c r="H25" s="84"/>
      <c r="I25" s="84"/>
      <c r="J25" s="84"/>
      <c r="K25" s="84"/>
      <c r="L25" s="84"/>
    </row>
    <row r="26" spans="1:12" ht="13.5" customHeight="1" x14ac:dyDescent="0.25">
      <c r="A26" s="96">
        <v>35</v>
      </c>
      <c r="B26" s="81" t="s">
        <v>1489</v>
      </c>
      <c r="C26" s="89">
        <v>0</v>
      </c>
      <c r="D26" s="89">
        <v>0</v>
      </c>
      <c r="E26" s="89">
        <v>0</v>
      </c>
      <c r="F26" s="89">
        <v>0</v>
      </c>
      <c r="G26" s="89">
        <v>1379624</v>
      </c>
      <c r="H26" s="84"/>
      <c r="I26" s="84"/>
      <c r="J26" s="84"/>
      <c r="K26" s="84"/>
      <c r="L26" s="84"/>
    </row>
    <row r="27" spans="1:12" ht="13.5" customHeight="1" x14ac:dyDescent="0.25">
      <c r="A27" s="96">
        <v>36</v>
      </c>
      <c r="B27" s="81" t="s">
        <v>1577</v>
      </c>
      <c r="C27" s="89">
        <f>Summary!F18</f>
        <v>795778.26276059996</v>
      </c>
      <c r="D27" s="89">
        <v>0</v>
      </c>
      <c r="E27" s="89">
        <v>0</v>
      </c>
      <c r="F27" s="89">
        <v>0</v>
      </c>
      <c r="G27" s="89">
        <v>0</v>
      </c>
      <c r="H27" s="84"/>
      <c r="I27" s="84"/>
      <c r="J27" s="84"/>
      <c r="K27" s="84"/>
      <c r="L27" s="84"/>
    </row>
    <row r="28" spans="1:12" ht="13.5" customHeight="1" x14ac:dyDescent="0.25">
      <c r="A28" s="96">
        <v>41</v>
      </c>
      <c r="B28" s="81" t="s">
        <v>1578</v>
      </c>
      <c r="C28" s="89">
        <f>Summary!F19</f>
        <v>801182.57040810003</v>
      </c>
      <c r="D28" s="89">
        <v>0</v>
      </c>
      <c r="E28" s="89">
        <v>0</v>
      </c>
      <c r="F28" s="89">
        <v>0</v>
      </c>
      <c r="G28" s="89">
        <v>0</v>
      </c>
      <c r="H28" s="84"/>
      <c r="I28" s="84"/>
      <c r="J28" s="84"/>
      <c r="K28" s="84"/>
      <c r="L28" s="84"/>
    </row>
    <row r="29" spans="1:12" ht="13.5" customHeight="1" x14ac:dyDescent="0.25">
      <c r="A29" s="96">
        <v>51</v>
      </c>
      <c r="B29" s="81" t="s">
        <v>1579</v>
      </c>
      <c r="C29" s="89">
        <f>Summary!F20</f>
        <v>2784676.5637397501</v>
      </c>
      <c r="D29" s="89">
        <v>0</v>
      </c>
      <c r="E29" s="89">
        <v>0</v>
      </c>
      <c r="F29" s="89">
        <v>0</v>
      </c>
      <c r="G29" s="89">
        <v>0</v>
      </c>
      <c r="H29" s="84"/>
      <c r="I29" s="84"/>
      <c r="J29" s="84"/>
      <c r="K29" s="84"/>
      <c r="L29" s="84"/>
    </row>
    <row r="30" spans="1:12" ht="13.5" customHeight="1" x14ac:dyDescent="0.25">
      <c r="A30" s="96">
        <v>52</v>
      </c>
      <c r="B30" s="81" t="s">
        <v>1580</v>
      </c>
      <c r="C30" s="89">
        <f>Summary!F21</f>
        <v>46647</v>
      </c>
      <c r="D30" s="89">
        <v>0</v>
      </c>
      <c r="E30" s="89">
        <v>0</v>
      </c>
      <c r="F30" s="89">
        <v>0</v>
      </c>
      <c r="G30" s="89">
        <v>0</v>
      </c>
      <c r="H30" s="84"/>
      <c r="I30" s="84"/>
      <c r="J30" s="84"/>
      <c r="K30" s="84"/>
      <c r="L30" s="84"/>
    </row>
    <row r="31" spans="1:12" ht="13.5" customHeight="1" x14ac:dyDescent="0.25">
      <c r="A31" s="96">
        <v>53</v>
      </c>
      <c r="B31" s="81" t="s">
        <v>1581</v>
      </c>
      <c r="C31" s="89">
        <f>Summary!F22</f>
        <v>153890.57760085</v>
      </c>
      <c r="D31" s="89">
        <v>0</v>
      </c>
      <c r="E31" s="89">
        <v>0</v>
      </c>
      <c r="F31" s="89">
        <v>0</v>
      </c>
      <c r="G31" s="89">
        <v>0</v>
      </c>
      <c r="H31" s="84"/>
      <c r="I31" s="84"/>
      <c r="J31" s="84"/>
      <c r="K31" s="84"/>
      <c r="L31" s="84"/>
    </row>
    <row r="32" spans="1:12" ht="13.5" customHeight="1" x14ac:dyDescent="0.25">
      <c r="A32" s="96">
        <v>61</v>
      </c>
      <c r="B32" s="81" t="s">
        <v>1498</v>
      </c>
      <c r="C32" s="89">
        <v>0</v>
      </c>
      <c r="D32" s="89">
        <v>0</v>
      </c>
      <c r="E32" s="89">
        <v>0</v>
      </c>
      <c r="F32" s="89">
        <v>0</v>
      </c>
      <c r="G32" s="89">
        <v>0</v>
      </c>
      <c r="H32" s="84"/>
      <c r="I32" s="84"/>
      <c r="J32" s="84"/>
      <c r="K32" s="84"/>
      <c r="L32" s="84"/>
    </row>
    <row r="33" spans="1:12" ht="13.5" customHeight="1" x14ac:dyDescent="0.25">
      <c r="A33" s="96">
        <v>71</v>
      </c>
      <c r="B33" s="81" t="s">
        <v>1582</v>
      </c>
      <c r="C33" s="89">
        <f>Summary!F24</f>
        <v>487000</v>
      </c>
      <c r="D33" s="89">
        <v>0</v>
      </c>
      <c r="E33" s="90">
        <f>'Debt Service'!H13</f>
        <v>2288000</v>
      </c>
      <c r="F33" s="89">
        <v>0</v>
      </c>
      <c r="G33" s="89">
        <v>0</v>
      </c>
      <c r="H33" s="84"/>
      <c r="I33" s="84"/>
      <c r="J33" s="84"/>
      <c r="K33" s="84"/>
      <c r="L33" s="84"/>
    </row>
    <row r="34" spans="1:12" ht="13.5" customHeight="1" x14ac:dyDescent="0.25">
      <c r="A34" s="96">
        <v>72</v>
      </c>
      <c r="B34" s="81" t="s">
        <v>1583</v>
      </c>
      <c r="C34" s="89">
        <v>0</v>
      </c>
      <c r="D34" s="89">
        <v>0</v>
      </c>
      <c r="E34" s="89">
        <v>0</v>
      </c>
      <c r="F34" s="89">
        <v>0</v>
      </c>
      <c r="G34" s="89">
        <v>0</v>
      </c>
      <c r="H34" s="84"/>
      <c r="I34" s="84"/>
      <c r="J34" s="84"/>
      <c r="K34" s="84"/>
      <c r="L34" s="84"/>
    </row>
    <row r="35" spans="1:12" ht="13.5" customHeight="1" x14ac:dyDescent="0.25">
      <c r="A35" s="96">
        <v>73</v>
      </c>
      <c r="B35" s="81" t="s">
        <v>1584</v>
      </c>
      <c r="C35" s="89">
        <v>0</v>
      </c>
      <c r="D35" s="89">
        <v>0</v>
      </c>
      <c r="E35" s="89">
        <v>0</v>
      </c>
      <c r="F35" s="89">
        <v>0</v>
      </c>
      <c r="G35" s="89">
        <v>0</v>
      </c>
      <c r="H35" s="84"/>
      <c r="I35" s="84"/>
      <c r="J35" s="84"/>
      <c r="K35" s="84"/>
      <c r="L35" s="84"/>
    </row>
    <row r="36" spans="1:12" ht="13.5" customHeight="1" x14ac:dyDescent="0.25">
      <c r="A36" s="96">
        <v>81</v>
      </c>
      <c r="B36" s="81" t="s">
        <v>1552</v>
      </c>
      <c r="C36" s="89">
        <f>Summary!F25</f>
        <v>250000</v>
      </c>
      <c r="D36" s="89">
        <v>0</v>
      </c>
      <c r="E36" s="89">
        <v>0</v>
      </c>
      <c r="F36" s="89">
        <v>0</v>
      </c>
      <c r="G36" s="89">
        <v>0</v>
      </c>
      <c r="H36" s="84"/>
      <c r="I36" s="84"/>
      <c r="J36" s="84"/>
      <c r="K36" s="84"/>
      <c r="L36" s="84"/>
    </row>
    <row r="37" spans="1:12" ht="13.5" customHeight="1" x14ac:dyDescent="0.25">
      <c r="A37" s="96">
        <v>91</v>
      </c>
      <c r="B37" s="81" t="s">
        <v>1585</v>
      </c>
      <c r="C37" s="89">
        <f>Summary!F26</f>
        <v>3484576</v>
      </c>
      <c r="D37" s="89">
        <v>0</v>
      </c>
      <c r="E37" s="89">
        <v>0</v>
      </c>
      <c r="F37" s="89">
        <v>0</v>
      </c>
      <c r="G37" s="89">
        <v>0</v>
      </c>
      <c r="H37" s="84"/>
      <c r="I37" s="84"/>
      <c r="J37" s="84"/>
      <c r="K37" s="84"/>
      <c r="L37" s="84"/>
    </row>
    <row r="38" spans="1:12" ht="13.5" customHeight="1" x14ac:dyDescent="0.25">
      <c r="A38" s="96">
        <v>92</v>
      </c>
      <c r="B38" s="81" t="s">
        <v>1586</v>
      </c>
      <c r="C38" s="89">
        <v>0</v>
      </c>
      <c r="D38" s="89">
        <v>0</v>
      </c>
      <c r="E38" s="89">
        <v>0</v>
      </c>
      <c r="F38" s="89">
        <v>0</v>
      </c>
      <c r="G38" s="89">
        <v>0</v>
      </c>
      <c r="H38" s="84"/>
      <c r="I38" s="84"/>
      <c r="J38" s="84"/>
      <c r="K38" s="84"/>
      <c r="L38" s="84"/>
    </row>
    <row r="39" spans="1:12" ht="13.5" customHeight="1" x14ac:dyDescent="0.25">
      <c r="A39" s="96">
        <v>93</v>
      </c>
      <c r="B39" s="81" t="s">
        <v>1587</v>
      </c>
      <c r="C39" s="89">
        <v>0</v>
      </c>
      <c r="D39" s="89">
        <v>0</v>
      </c>
      <c r="E39" s="89">
        <v>0</v>
      </c>
      <c r="F39" s="89">
        <v>0</v>
      </c>
      <c r="G39" s="89">
        <v>0</v>
      </c>
      <c r="H39" s="84"/>
      <c r="I39" s="84"/>
      <c r="J39" s="84"/>
      <c r="K39" s="84"/>
      <c r="L39" s="84"/>
    </row>
    <row r="40" spans="1:12" ht="13.5" customHeight="1" x14ac:dyDescent="0.25">
      <c r="A40" s="96">
        <v>99</v>
      </c>
      <c r="B40" s="81" t="s">
        <v>1588</v>
      </c>
      <c r="C40" s="89">
        <f>Summary!F27</f>
        <v>655000</v>
      </c>
      <c r="D40" s="89">
        <v>0</v>
      </c>
      <c r="E40" s="89">
        <v>0</v>
      </c>
      <c r="F40" s="89">
        <v>0</v>
      </c>
      <c r="G40" s="89">
        <v>0</v>
      </c>
      <c r="H40" s="84"/>
      <c r="I40" s="84"/>
      <c r="J40" s="84"/>
      <c r="K40" s="84"/>
      <c r="L40" s="84"/>
    </row>
    <row r="41" spans="1:12" ht="13.5" customHeight="1" x14ac:dyDescent="0.25">
      <c r="A41" s="82">
        <v>6000</v>
      </c>
      <c r="B41" s="98" t="s">
        <v>1589</v>
      </c>
      <c r="C41" s="91">
        <f t="shared" ref="C41:E41" si="1">SUM(C17:C40)</f>
        <v>24988837.987910941</v>
      </c>
      <c r="D41" s="92"/>
      <c r="E41" s="91">
        <f t="shared" si="1"/>
        <v>2288000</v>
      </c>
      <c r="F41" s="92"/>
      <c r="G41" s="91">
        <f>SUM(G17:G40)</f>
        <v>1379624</v>
      </c>
      <c r="H41" s="84"/>
      <c r="I41" s="84"/>
      <c r="J41" s="84"/>
      <c r="K41" s="84"/>
      <c r="L41" s="84"/>
    </row>
    <row r="42" spans="1:12" ht="13.5" customHeight="1" x14ac:dyDescent="0.25">
      <c r="A42" s="81"/>
      <c r="B42" s="81"/>
      <c r="C42" s="95"/>
      <c r="D42" s="94"/>
      <c r="E42" s="95"/>
      <c r="F42" s="94"/>
      <c r="G42" s="95"/>
      <c r="H42" s="84"/>
      <c r="I42" s="84"/>
      <c r="J42" s="84"/>
      <c r="K42" s="84"/>
      <c r="L42" s="84"/>
    </row>
    <row r="43" spans="1:12" ht="13.5" customHeight="1" thickBot="1" x14ac:dyDescent="0.3">
      <c r="A43" s="82"/>
      <c r="B43" s="81" t="s">
        <v>1590</v>
      </c>
      <c r="C43" s="99">
        <f>C14-C41</f>
        <v>32641.402089059353</v>
      </c>
      <c r="D43" s="92"/>
      <c r="E43" s="99">
        <f>E14-E41</f>
        <v>-63000</v>
      </c>
      <c r="F43" s="92"/>
      <c r="G43" s="99">
        <f>G14-G41</f>
        <v>18000</v>
      </c>
      <c r="H43" s="84"/>
      <c r="I43" s="84"/>
      <c r="J43" s="84"/>
      <c r="K43" s="84"/>
      <c r="L43" s="84"/>
    </row>
    <row r="44" spans="1:12" ht="13.5" customHeight="1" thickTop="1" x14ac:dyDescent="0.25">
      <c r="A44" s="81"/>
      <c r="B44" s="81" t="s">
        <v>1591</v>
      </c>
      <c r="C44" s="95"/>
      <c r="D44" s="94"/>
      <c r="E44" s="95"/>
      <c r="F44" s="94"/>
      <c r="G44" s="95"/>
      <c r="H44" s="84"/>
      <c r="I44" s="84"/>
      <c r="J44" s="84"/>
      <c r="K44" s="84"/>
      <c r="L44" s="84"/>
    </row>
    <row r="45" spans="1:12" ht="13.5" customHeight="1" x14ac:dyDescent="0.25">
      <c r="A45" s="81"/>
      <c r="B45" s="81"/>
      <c r="C45" s="100"/>
      <c r="D45" s="94"/>
      <c r="E45" s="95"/>
      <c r="F45" s="94"/>
      <c r="G45" s="95"/>
      <c r="H45" s="84"/>
      <c r="I45" s="84"/>
      <c r="J45" s="84"/>
      <c r="K45" s="84"/>
      <c r="L45" s="84"/>
    </row>
    <row r="46" spans="1:12" ht="13.5" customHeight="1" x14ac:dyDescent="0.25">
      <c r="A46" s="81" t="s">
        <v>1594</v>
      </c>
      <c r="B46" s="81"/>
      <c r="C46" s="100"/>
      <c r="D46" s="94"/>
      <c r="E46" s="95"/>
      <c r="F46" s="94"/>
      <c r="G46" s="95"/>
      <c r="H46" s="84"/>
      <c r="I46" s="84"/>
      <c r="J46" s="84"/>
      <c r="K46" s="84"/>
      <c r="L46" s="84"/>
    </row>
    <row r="47" spans="1:12" x14ac:dyDescent="0.25">
      <c r="A47" s="84"/>
      <c r="B47" s="84"/>
      <c r="C47" s="100"/>
      <c r="D47" s="94"/>
      <c r="E47" s="95"/>
      <c r="F47" s="94"/>
      <c r="G47" s="95"/>
      <c r="H47" s="84"/>
      <c r="I47" s="84"/>
      <c r="J47" s="84"/>
      <c r="K47" s="84"/>
      <c r="L47" s="84"/>
    </row>
    <row r="48" spans="1:12" x14ac:dyDescent="0.25">
      <c r="A48" s="84"/>
      <c r="B48" s="84"/>
      <c r="C48" s="100"/>
      <c r="D48" s="94"/>
      <c r="E48" s="95"/>
      <c r="F48" s="94"/>
      <c r="G48" s="95"/>
      <c r="H48" s="84"/>
      <c r="I48" s="84"/>
      <c r="J48" s="84"/>
      <c r="K48" s="84"/>
      <c r="L48" s="84"/>
    </row>
    <row r="49" spans="1:12" x14ac:dyDescent="0.25">
      <c r="A49" s="84"/>
      <c r="B49" s="84"/>
      <c r="C49" s="100"/>
      <c r="D49" s="94"/>
      <c r="E49" s="95"/>
      <c r="F49" s="94"/>
      <c r="G49" s="95"/>
      <c r="H49" s="84"/>
      <c r="I49" s="84"/>
      <c r="J49" s="84"/>
      <c r="K49" s="84"/>
      <c r="L49" s="84"/>
    </row>
    <row r="50" spans="1:12" x14ac:dyDescent="0.25">
      <c r="A50" s="84"/>
      <c r="B50" s="84"/>
      <c r="C50" s="100"/>
      <c r="D50" s="100"/>
      <c r="E50" s="100"/>
      <c r="F50" s="100"/>
      <c r="G50" s="100"/>
      <c r="H50" s="84"/>
      <c r="I50" s="84"/>
      <c r="J50" s="84"/>
      <c r="K50" s="84"/>
      <c r="L50" s="84"/>
    </row>
    <row r="51" spans="1:12" x14ac:dyDescent="0.25">
      <c r="A51" s="84"/>
      <c r="B51" s="84"/>
      <c r="C51" s="100"/>
      <c r="D51" s="100"/>
      <c r="E51" s="100"/>
      <c r="F51" s="100"/>
      <c r="G51" s="100"/>
      <c r="H51" s="84"/>
      <c r="I51" s="84"/>
      <c r="J51" s="84"/>
      <c r="K51" s="84"/>
      <c r="L51" s="84"/>
    </row>
    <row r="52" spans="1:12" x14ac:dyDescent="0.25">
      <c r="A52" s="84"/>
      <c r="B52" s="84"/>
      <c r="C52" s="100"/>
      <c r="D52" s="100"/>
      <c r="E52" s="100"/>
      <c r="F52" s="100"/>
      <c r="G52" s="100"/>
      <c r="H52" s="84"/>
      <c r="I52" s="84"/>
      <c r="J52" s="84"/>
      <c r="K52" s="84"/>
      <c r="L52" s="84"/>
    </row>
    <row r="53" spans="1:12" x14ac:dyDescent="0.25">
      <c r="A53" s="84"/>
      <c r="B53" s="84"/>
      <c r="C53" s="100"/>
      <c r="D53" s="100"/>
      <c r="E53" s="100"/>
      <c r="F53" s="100"/>
      <c r="G53" s="100"/>
      <c r="H53" s="84"/>
      <c r="I53" s="84"/>
      <c r="J53" s="84"/>
      <c r="K53" s="84"/>
      <c r="L53" s="84"/>
    </row>
    <row r="54" spans="1:12" x14ac:dyDescent="0.25">
      <c r="A54" s="84"/>
      <c r="B54" s="84"/>
      <c r="C54" s="100"/>
      <c r="D54" s="100"/>
      <c r="E54" s="100"/>
      <c r="F54" s="100"/>
      <c r="G54" s="100"/>
      <c r="H54" s="84"/>
      <c r="I54" s="84"/>
      <c r="J54" s="84"/>
      <c r="K54" s="84"/>
      <c r="L54" s="84"/>
    </row>
    <row r="55" spans="1:12" x14ac:dyDescent="0.25">
      <c r="A55" s="84"/>
      <c r="B55" s="84"/>
      <c r="C55" s="100"/>
      <c r="D55" s="100"/>
      <c r="E55" s="100"/>
      <c r="F55" s="100"/>
      <c r="G55" s="100"/>
      <c r="H55" s="84"/>
      <c r="I55" s="84"/>
      <c r="J55" s="84"/>
      <c r="K55" s="84"/>
      <c r="L55" s="84"/>
    </row>
    <row r="56" spans="1:12" x14ac:dyDescent="0.25">
      <c r="A56" s="84"/>
      <c r="B56" s="84"/>
      <c r="C56" s="100"/>
      <c r="D56" s="100"/>
      <c r="E56" s="100"/>
      <c r="F56" s="100"/>
      <c r="G56" s="100"/>
      <c r="H56" s="84"/>
      <c r="I56" s="84"/>
      <c r="J56" s="84"/>
      <c r="K56" s="84"/>
      <c r="L56" s="84"/>
    </row>
    <row r="57" spans="1:12" x14ac:dyDescent="0.25">
      <c r="A57" s="84"/>
      <c r="B57" s="84"/>
      <c r="C57" s="100"/>
      <c r="D57" s="100"/>
      <c r="E57" s="100"/>
      <c r="F57" s="100"/>
      <c r="G57" s="100"/>
      <c r="H57" s="84"/>
      <c r="I57" s="84"/>
      <c r="J57" s="84"/>
      <c r="K57" s="84"/>
      <c r="L57" s="84"/>
    </row>
    <row r="58" spans="1:12" x14ac:dyDescent="0.25">
      <c r="A58" s="84"/>
      <c r="B58" s="84"/>
      <c r="C58" s="100"/>
      <c r="D58" s="100"/>
      <c r="E58" s="100"/>
      <c r="F58" s="100"/>
      <c r="G58" s="100"/>
      <c r="H58" s="84"/>
      <c r="I58" s="84"/>
      <c r="J58" s="84"/>
      <c r="K58" s="84"/>
      <c r="L58" s="84"/>
    </row>
    <row r="59" spans="1:12" x14ac:dyDescent="0.25">
      <c r="A59" s="84"/>
      <c r="B59" s="84"/>
      <c r="C59" s="100"/>
      <c r="D59" s="100"/>
      <c r="E59" s="100"/>
      <c r="F59" s="100"/>
      <c r="G59" s="100"/>
      <c r="H59" s="84"/>
      <c r="I59" s="84"/>
      <c r="J59" s="84"/>
      <c r="K59" s="84"/>
      <c r="L59" s="84"/>
    </row>
    <row r="60" spans="1:12" x14ac:dyDescent="0.25">
      <c r="A60" s="84"/>
      <c r="B60" s="84"/>
      <c r="C60" s="100"/>
      <c r="D60" s="100"/>
      <c r="E60" s="100"/>
      <c r="F60" s="100"/>
      <c r="G60" s="100"/>
      <c r="H60" s="84"/>
      <c r="I60" s="84"/>
      <c r="J60" s="84"/>
      <c r="K60" s="84"/>
      <c r="L60" s="84"/>
    </row>
    <row r="61" spans="1:12" x14ac:dyDescent="0.25">
      <c r="A61" s="84"/>
      <c r="B61" s="84"/>
      <c r="C61" s="100"/>
      <c r="D61" s="100"/>
      <c r="E61" s="100"/>
      <c r="F61" s="100"/>
      <c r="G61" s="100"/>
      <c r="H61" s="84"/>
      <c r="I61" s="84"/>
      <c r="J61" s="84"/>
      <c r="K61" s="84"/>
      <c r="L61" s="84"/>
    </row>
    <row r="62" spans="1:12" x14ac:dyDescent="0.25">
      <c r="A62" s="84"/>
      <c r="B62" s="84"/>
      <c r="C62" s="100"/>
      <c r="D62" s="100"/>
      <c r="E62" s="100"/>
      <c r="F62" s="100"/>
      <c r="G62" s="100"/>
      <c r="H62" s="84"/>
      <c r="I62" s="84"/>
      <c r="J62" s="84"/>
      <c r="K62" s="84"/>
      <c r="L62" s="84"/>
    </row>
    <row r="63" spans="1:12" x14ac:dyDescent="0.25">
      <c r="A63" s="84"/>
      <c r="B63" s="84"/>
      <c r="C63" s="100"/>
      <c r="D63" s="100"/>
      <c r="E63" s="100"/>
      <c r="F63" s="100"/>
      <c r="G63" s="100"/>
      <c r="H63" s="84"/>
      <c r="I63" s="84"/>
      <c r="J63" s="84"/>
      <c r="K63" s="84"/>
      <c r="L63" s="84"/>
    </row>
    <row r="64" spans="1:12" x14ac:dyDescent="0.25">
      <c r="A64" s="84"/>
      <c r="B64" s="84"/>
      <c r="C64" s="100"/>
      <c r="D64" s="100"/>
      <c r="E64" s="100"/>
      <c r="F64" s="100"/>
      <c r="G64" s="100"/>
      <c r="H64" s="84"/>
      <c r="I64" s="84"/>
      <c r="J64" s="84"/>
      <c r="K64" s="84"/>
      <c r="L64" s="84"/>
    </row>
    <row r="65" spans="1:12" x14ac:dyDescent="0.25">
      <c r="A65" s="84"/>
      <c r="B65" s="84"/>
      <c r="C65" s="100"/>
      <c r="D65" s="100"/>
      <c r="E65" s="100"/>
      <c r="F65" s="100"/>
      <c r="G65" s="100"/>
      <c r="H65" s="84"/>
      <c r="I65" s="84"/>
      <c r="J65" s="84"/>
      <c r="K65" s="84"/>
      <c r="L65" s="84"/>
    </row>
    <row r="66" spans="1:12" x14ac:dyDescent="0.25">
      <c r="A66" s="84"/>
      <c r="B66" s="84"/>
      <c r="C66" s="100"/>
      <c r="D66" s="100"/>
      <c r="E66" s="100"/>
      <c r="F66" s="100"/>
      <c r="G66" s="100"/>
      <c r="H66" s="84"/>
      <c r="I66" s="84"/>
      <c r="J66" s="84"/>
      <c r="K66" s="84"/>
      <c r="L66" s="84"/>
    </row>
    <row r="67" spans="1:12" x14ac:dyDescent="0.25">
      <c r="A67" s="84"/>
      <c r="B67" s="84"/>
      <c r="C67" s="100"/>
      <c r="D67" s="100"/>
      <c r="E67" s="100"/>
      <c r="F67" s="100"/>
      <c r="G67" s="100"/>
      <c r="H67" s="84"/>
      <c r="I67" s="84"/>
      <c r="J67" s="84"/>
      <c r="K67" s="84"/>
      <c r="L67" s="84"/>
    </row>
    <row r="68" spans="1:12" x14ac:dyDescent="0.25">
      <c r="A68" s="84"/>
      <c r="B68" s="84"/>
      <c r="C68" s="100"/>
      <c r="D68" s="100"/>
      <c r="E68" s="100"/>
      <c r="F68" s="100"/>
      <c r="G68" s="100"/>
      <c r="H68" s="84"/>
      <c r="I68" s="84"/>
      <c r="J68" s="84"/>
      <c r="K68" s="84"/>
      <c r="L68" s="84"/>
    </row>
    <row r="69" spans="1:12" x14ac:dyDescent="0.25">
      <c r="A69" s="84"/>
      <c r="B69" s="84"/>
      <c r="C69" s="100"/>
      <c r="D69" s="100"/>
      <c r="E69" s="100"/>
      <c r="F69" s="100"/>
      <c r="G69" s="100"/>
      <c r="H69" s="84"/>
      <c r="I69" s="84"/>
      <c r="J69" s="84"/>
      <c r="K69" s="84"/>
      <c r="L69" s="84"/>
    </row>
    <row r="70" spans="1:12" x14ac:dyDescent="0.25">
      <c r="A70" s="84"/>
      <c r="B70" s="84"/>
      <c r="C70" s="100"/>
      <c r="D70" s="100"/>
      <c r="E70" s="100"/>
      <c r="F70" s="100"/>
      <c r="G70" s="100"/>
      <c r="H70" s="84"/>
      <c r="I70" s="84"/>
      <c r="J70" s="84"/>
      <c r="K70" s="84"/>
      <c r="L70" s="84"/>
    </row>
    <row r="71" spans="1:12" x14ac:dyDescent="0.25">
      <c r="A71" s="84"/>
      <c r="B71" s="84"/>
      <c r="C71" s="100"/>
      <c r="D71" s="100"/>
      <c r="E71" s="100"/>
      <c r="F71" s="100"/>
      <c r="G71" s="100"/>
      <c r="H71" s="84"/>
      <c r="I71" s="84"/>
      <c r="J71" s="84"/>
      <c r="K71" s="84"/>
      <c r="L71" s="84"/>
    </row>
    <row r="72" spans="1:12" x14ac:dyDescent="0.25">
      <c r="A72" s="84"/>
      <c r="B72" s="84"/>
      <c r="C72" s="100"/>
      <c r="D72" s="100"/>
      <c r="E72" s="100"/>
      <c r="F72" s="100"/>
      <c r="G72" s="100"/>
      <c r="H72" s="84"/>
      <c r="I72" s="84"/>
      <c r="J72" s="84"/>
      <c r="K72" s="84"/>
      <c r="L72" s="84"/>
    </row>
    <row r="73" spans="1:12" x14ac:dyDescent="0.25">
      <c r="A73" s="84"/>
      <c r="B73" s="84"/>
      <c r="C73" s="100"/>
      <c r="D73" s="100"/>
      <c r="E73" s="100"/>
      <c r="F73" s="100"/>
      <c r="G73" s="100"/>
      <c r="H73" s="84"/>
      <c r="I73" s="84"/>
      <c r="J73" s="84"/>
      <c r="K73" s="84"/>
      <c r="L73" s="84"/>
    </row>
    <row r="74" spans="1:12" x14ac:dyDescent="0.25">
      <c r="A74" s="84"/>
      <c r="B74" s="84"/>
      <c r="C74" s="100"/>
      <c r="D74" s="100"/>
      <c r="E74" s="100"/>
      <c r="F74" s="100"/>
      <c r="G74" s="100"/>
      <c r="H74" s="84"/>
      <c r="I74" s="84"/>
      <c r="J74" s="84"/>
      <c r="K74" s="84"/>
      <c r="L74" s="84"/>
    </row>
    <row r="75" spans="1:12" x14ac:dyDescent="0.25">
      <c r="A75" s="84"/>
      <c r="B75" s="84"/>
      <c r="C75" s="100"/>
      <c r="D75" s="100"/>
      <c r="E75" s="100"/>
      <c r="F75" s="100"/>
      <c r="G75" s="100"/>
      <c r="H75" s="84"/>
      <c r="I75" s="84"/>
      <c r="J75" s="84"/>
      <c r="K75" s="84"/>
      <c r="L75" s="84"/>
    </row>
    <row r="76" spans="1:12" x14ac:dyDescent="0.25">
      <c r="A76" s="84"/>
      <c r="B76" s="84"/>
      <c r="C76" s="100"/>
      <c r="D76" s="100"/>
      <c r="E76" s="100"/>
      <c r="F76" s="100"/>
      <c r="G76" s="100"/>
      <c r="H76" s="84"/>
      <c r="I76" s="84"/>
      <c r="J76" s="84"/>
      <c r="K76" s="84"/>
      <c r="L76" s="84"/>
    </row>
    <row r="77" spans="1:12" x14ac:dyDescent="0.25">
      <c r="A77" s="84"/>
      <c r="B77" s="84"/>
      <c r="C77" s="100"/>
      <c r="D77" s="100"/>
      <c r="E77" s="100"/>
      <c r="F77" s="100"/>
      <c r="G77" s="100"/>
      <c r="H77" s="84"/>
      <c r="I77" s="84"/>
      <c r="J77" s="84"/>
      <c r="K77" s="84"/>
      <c r="L77" s="84"/>
    </row>
    <row r="78" spans="1:12" x14ac:dyDescent="0.25">
      <c r="A78" s="84"/>
      <c r="B78" s="84"/>
      <c r="C78" s="100"/>
      <c r="D78" s="100"/>
      <c r="E78" s="100"/>
      <c r="F78" s="100"/>
      <c r="G78" s="100"/>
      <c r="H78" s="84"/>
      <c r="I78" s="84"/>
      <c r="J78" s="84"/>
      <c r="K78" s="84"/>
      <c r="L78" s="84"/>
    </row>
    <row r="79" spans="1:12" x14ac:dyDescent="0.25">
      <c r="A79" s="84"/>
      <c r="B79" s="84"/>
      <c r="C79" s="100"/>
      <c r="D79" s="100"/>
      <c r="E79" s="100"/>
      <c r="F79" s="100"/>
      <c r="G79" s="100"/>
      <c r="H79" s="84"/>
      <c r="I79" s="84"/>
      <c r="J79" s="84"/>
      <c r="K79" s="84"/>
      <c r="L79" s="84"/>
    </row>
    <row r="80" spans="1:12" x14ac:dyDescent="0.25">
      <c r="A80" s="84"/>
      <c r="B80" s="84"/>
      <c r="C80" s="100"/>
      <c r="D80" s="100"/>
      <c r="E80" s="100"/>
      <c r="F80" s="100"/>
      <c r="G80" s="100"/>
      <c r="H80" s="84"/>
      <c r="I80" s="84"/>
      <c r="J80" s="84"/>
      <c r="K80" s="84"/>
      <c r="L80" s="84"/>
    </row>
    <row r="81" spans="1:12" x14ac:dyDescent="0.25">
      <c r="A81" s="84"/>
      <c r="B81" s="84"/>
      <c r="C81" s="100"/>
      <c r="D81" s="100"/>
      <c r="E81" s="100"/>
      <c r="F81" s="100"/>
      <c r="G81" s="100"/>
      <c r="H81" s="84"/>
      <c r="I81" s="84"/>
      <c r="J81" s="84"/>
      <c r="K81" s="84"/>
      <c r="L81" s="84"/>
    </row>
    <row r="82" spans="1:12" x14ac:dyDescent="0.25">
      <c r="A82" s="84"/>
      <c r="B82" s="84"/>
      <c r="C82" s="100"/>
      <c r="D82" s="100"/>
      <c r="E82" s="100"/>
      <c r="F82" s="100"/>
      <c r="G82" s="100"/>
      <c r="H82" s="84"/>
      <c r="I82" s="84"/>
      <c r="J82" s="84"/>
      <c r="K82" s="84"/>
      <c r="L82" s="84"/>
    </row>
    <row r="83" spans="1:12" x14ac:dyDescent="0.25">
      <c r="A83" s="84"/>
      <c r="B83" s="84"/>
      <c r="C83" s="100"/>
      <c r="D83" s="100"/>
      <c r="E83" s="100"/>
      <c r="F83" s="100"/>
      <c r="G83" s="100"/>
      <c r="H83" s="84"/>
      <c r="I83" s="84"/>
      <c r="J83" s="84"/>
      <c r="K83" s="84"/>
      <c r="L83" s="84"/>
    </row>
    <row r="84" spans="1:12" x14ac:dyDescent="0.25">
      <c r="A84" s="84"/>
      <c r="B84" s="84"/>
      <c r="C84" s="100"/>
      <c r="D84" s="100"/>
      <c r="E84" s="100"/>
      <c r="F84" s="100"/>
      <c r="G84" s="100"/>
      <c r="H84" s="84"/>
      <c r="I84" s="84"/>
      <c r="J84" s="84"/>
      <c r="K84" s="84"/>
      <c r="L84" s="84"/>
    </row>
    <row r="85" spans="1:12" x14ac:dyDescent="0.25">
      <c r="A85" s="84"/>
      <c r="B85" s="84"/>
      <c r="C85" s="100"/>
      <c r="D85" s="100"/>
      <c r="E85" s="100"/>
      <c r="F85" s="100"/>
      <c r="G85" s="100"/>
      <c r="H85" s="84"/>
      <c r="I85" s="84"/>
      <c r="J85" s="84"/>
      <c r="K85" s="84"/>
      <c r="L85" s="84"/>
    </row>
    <row r="86" spans="1:12" x14ac:dyDescent="0.25">
      <c r="A86" s="84"/>
      <c r="B86" s="84"/>
      <c r="C86" s="100"/>
      <c r="D86" s="100"/>
      <c r="E86" s="100"/>
      <c r="F86" s="100"/>
      <c r="G86" s="100"/>
      <c r="H86" s="84"/>
      <c r="I86" s="84"/>
      <c r="J86" s="84"/>
      <c r="K86" s="84"/>
      <c r="L86" s="84"/>
    </row>
    <row r="87" spans="1:12" x14ac:dyDescent="0.25">
      <c r="A87" s="84"/>
      <c r="B87" s="84"/>
      <c r="C87" s="100"/>
      <c r="D87" s="100"/>
      <c r="E87" s="100"/>
      <c r="F87" s="100"/>
      <c r="G87" s="100"/>
      <c r="H87" s="84"/>
      <c r="I87" s="84"/>
      <c r="J87" s="84"/>
      <c r="K87" s="84"/>
      <c r="L87" s="84"/>
    </row>
    <row r="88" spans="1:12" x14ac:dyDescent="0.25">
      <c r="A88" s="84"/>
      <c r="B88" s="84"/>
      <c r="C88" s="100"/>
      <c r="D88" s="100"/>
      <c r="E88" s="100"/>
      <c r="F88" s="100"/>
      <c r="G88" s="100"/>
      <c r="H88" s="84"/>
      <c r="I88" s="84"/>
      <c r="J88" s="84"/>
      <c r="K88" s="84"/>
      <c r="L88" s="84"/>
    </row>
    <row r="89" spans="1:12" x14ac:dyDescent="0.25">
      <c r="A89" s="84"/>
      <c r="B89" s="84"/>
      <c r="C89" s="100"/>
      <c r="D89" s="100"/>
      <c r="E89" s="100"/>
      <c r="F89" s="100"/>
      <c r="G89" s="100"/>
      <c r="H89" s="84"/>
      <c r="I89" s="84"/>
      <c r="J89" s="84"/>
      <c r="K89" s="84"/>
      <c r="L89" s="84"/>
    </row>
    <row r="90" spans="1:12" x14ac:dyDescent="0.25">
      <c r="A90" s="84"/>
      <c r="B90" s="84"/>
      <c r="C90" s="100"/>
      <c r="D90" s="100"/>
      <c r="E90" s="100"/>
      <c r="F90" s="100"/>
      <c r="G90" s="100"/>
      <c r="H90" s="84"/>
      <c r="I90" s="84"/>
      <c r="J90" s="84"/>
      <c r="K90" s="84"/>
      <c r="L90" s="84"/>
    </row>
    <row r="91" spans="1:12" x14ac:dyDescent="0.25">
      <c r="A91" s="84"/>
      <c r="B91" s="84"/>
      <c r="C91" s="100"/>
      <c r="D91" s="100"/>
      <c r="E91" s="100"/>
      <c r="F91" s="100"/>
      <c r="G91" s="100"/>
      <c r="H91" s="84"/>
      <c r="I91" s="84"/>
      <c r="J91" s="84"/>
      <c r="K91" s="84"/>
      <c r="L91" s="84"/>
    </row>
    <row r="92" spans="1:12" x14ac:dyDescent="0.25">
      <c r="A92" s="84"/>
      <c r="B92" s="84"/>
      <c r="C92" s="100"/>
      <c r="D92" s="100"/>
      <c r="E92" s="100"/>
      <c r="F92" s="100"/>
      <c r="G92" s="100"/>
      <c r="H92" s="84"/>
      <c r="I92" s="84"/>
      <c r="J92" s="84"/>
      <c r="K92" s="84"/>
      <c r="L92" s="84"/>
    </row>
    <row r="93" spans="1:12" x14ac:dyDescent="0.25">
      <c r="A93" s="84"/>
      <c r="B93" s="84"/>
      <c r="C93" s="100"/>
      <c r="D93" s="100"/>
      <c r="E93" s="100"/>
      <c r="F93" s="100"/>
      <c r="G93" s="100"/>
      <c r="H93" s="84"/>
      <c r="I93" s="84"/>
      <c r="J93" s="84"/>
      <c r="K93" s="84"/>
      <c r="L93" s="84"/>
    </row>
    <row r="94" spans="1:12" x14ac:dyDescent="0.25">
      <c r="A94" s="84"/>
      <c r="B94" s="84"/>
      <c r="C94" s="100"/>
      <c r="D94" s="100"/>
      <c r="E94" s="100"/>
      <c r="F94" s="100"/>
      <c r="G94" s="100"/>
      <c r="H94" s="84"/>
      <c r="I94" s="84"/>
      <c r="J94" s="84"/>
      <c r="K94" s="84"/>
      <c r="L94" s="84"/>
    </row>
    <row r="95" spans="1:12" x14ac:dyDescent="0.25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</row>
    <row r="96" spans="1:12" x14ac:dyDescent="0.25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</row>
    <row r="97" spans="1:12" x14ac:dyDescent="0.25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</row>
    <row r="98" spans="1:12" x14ac:dyDescent="0.25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</row>
    <row r="99" spans="1:12" x14ac:dyDescent="0.25">
      <c r="A99" s="84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</row>
    <row r="100" spans="1:12" x14ac:dyDescent="0.25">
      <c r="A100" s="84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</row>
    <row r="101" spans="1:12" x14ac:dyDescent="0.25">
      <c r="A101" s="84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</row>
    <row r="102" spans="1:12" x14ac:dyDescent="0.25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</row>
    <row r="103" spans="1:12" x14ac:dyDescent="0.25">
      <c r="A103" s="84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</row>
    <row r="104" spans="1:12" x14ac:dyDescent="0.25">
      <c r="A104" s="84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</row>
    <row r="105" spans="1:12" x14ac:dyDescent="0.25">
      <c r="A105" s="84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</row>
    <row r="106" spans="1:12" x14ac:dyDescent="0.25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</row>
    <row r="107" spans="1:12" x14ac:dyDescent="0.25">
      <c r="A107" s="84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</row>
    <row r="108" spans="1:12" x14ac:dyDescent="0.25">
      <c r="A108" s="84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</row>
    <row r="109" spans="1:12" x14ac:dyDescent="0.25">
      <c r="A109" s="84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</row>
    <row r="110" spans="1:12" x14ac:dyDescent="0.25">
      <c r="A110" s="84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</row>
    <row r="111" spans="1:12" x14ac:dyDescent="0.25">
      <c r="A111" s="84"/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</row>
    <row r="112" spans="1:12" x14ac:dyDescent="0.25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</row>
    <row r="113" spans="1:12" x14ac:dyDescent="0.25">
      <c r="A113" s="84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</row>
    <row r="114" spans="1:12" x14ac:dyDescent="0.25">
      <c r="A114" s="84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</row>
    <row r="115" spans="1:12" x14ac:dyDescent="0.25">
      <c r="A115" s="84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</row>
    <row r="116" spans="1:12" x14ac:dyDescent="0.25">
      <c r="A116" s="84"/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</row>
    <row r="117" spans="1:12" x14ac:dyDescent="0.25">
      <c r="A117" s="84"/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</row>
    <row r="118" spans="1:12" x14ac:dyDescent="0.25">
      <c r="A118" s="84"/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</row>
    <row r="119" spans="1:12" x14ac:dyDescent="0.25">
      <c r="A119" s="84"/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</row>
    <row r="120" spans="1:12" x14ac:dyDescent="0.25">
      <c r="A120" s="84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</row>
    <row r="121" spans="1:12" x14ac:dyDescent="0.25">
      <c r="A121" s="84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</row>
    <row r="122" spans="1:12" x14ac:dyDescent="0.25">
      <c r="A122" s="84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</row>
    <row r="123" spans="1:12" x14ac:dyDescent="0.25">
      <c r="A123" s="84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</row>
    <row r="124" spans="1:12" x14ac:dyDescent="0.25">
      <c r="A124" s="84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</row>
    <row r="125" spans="1:12" x14ac:dyDescent="0.25">
      <c r="A125" s="84"/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</row>
    <row r="126" spans="1:12" x14ac:dyDescent="0.25">
      <c r="A126" s="84"/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</row>
    <row r="127" spans="1:12" x14ac:dyDescent="0.25">
      <c r="A127" s="84"/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</row>
    <row r="128" spans="1:12" x14ac:dyDescent="0.25">
      <c r="A128" s="84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</row>
    <row r="129" spans="1:12" x14ac:dyDescent="0.25">
      <c r="A129" s="84"/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</row>
    <row r="130" spans="1:12" x14ac:dyDescent="0.25">
      <c r="A130" s="84"/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</row>
    <row r="131" spans="1:12" x14ac:dyDescent="0.25">
      <c r="A131" s="84"/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</row>
    <row r="132" spans="1:12" x14ac:dyDescent="0.25">
      <c r="A132" s="84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</row>
    <row r="133" spans="1:12" x14ac:dyDescent="0.25">
      <c r="A133" s="84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</row>
    <row r="134" spans="1:12" x14ac:dyDescent="0.25">
      <c r="A134" s="84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</row>
    <row r="135" spans="1:12" x14ac:dyDescent="0.25">
      <c r="A135" s="84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</row>
    <row r="136" spans="1:12" x14ac:dyDescent="0.25">
      <c r="A136" s="84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</row>
    <row r="137" spans="1:12" x14ac:dyDescent="0.25">
      <c r="A137" s="84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</row>
    <row r="138" spans="1:12" x14ac:dyDescent="0.25">
      <c r="A138" s="84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</row>
    <row r="139" spans="1:12" x14ac:dyDescent="0.25">
      <c r="A139" s="84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</row>
    <row r="140" spans="1:12" x14ac:dyDescent="0.25">
      <c r="A140" s="84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</row>
    <row r="141" spans="1:12" x14ac:dyDescent="0.25">
      <c r="A141" s="84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</row>
    <row r="142" spans="1:12" x14ac:dyDescent="0.25">
      <c r="A142" s="84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</row>
    <row r="143" spans="1:12" x14ac:dyDescent="0.25">
      <c r="A143" s="84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</row>
    <row r="144" spans="1:12" x14ac:dyDescent="0.25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</row>
    <row r="145" spans="1:12" x14ac:dyDescent="0.25">
      <c r="A145" s="84"/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</row>
    <row r="146" spans="1:12" x14ac:dyDescent="0.25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</row>
    <row r="147" spans="1:12" x14ac:dyDescent="0.25">
      <c r="A147" s="84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</row>
    <row r="148" spans="1:12" x14ac:dyDescent="0.25">
      <c r="A148" s="84"/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</row>
    <row r="149" spans="1:12" x14ac:dyDescent="0.25">
      <c r="A149" s="84"/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</row>
    <row r="150" spans="1:12" x14ac:dyDescent="0.25">
      <c r="A150" s="84"/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</row>
    <row r="151" spans="1:12" x14ac:dyDescent="0.25">
      <c r="A151" s="84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</row>
  </sheetData>
  <mergeCells count="4">
    <mergeCell ref="A1:G1"/>
    <mergeCell ref="A2:G2"/>
    <mergeCell ref="A3:G3"/>
    <mergeCell ref="C5:G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workbookViewId="0">
      <selection activeCell="A3" sqref="A3:F3"/>
    </sheetView>
  </sheetViews>
  <sheetFormatPr defaultColWidth="8.85546875" defaultRowHeight="12.75" x14ac:dyDescent="0.2"/>
  <cols>
    <col min="1" max="1" width="7.42578125" style="18" customWidth="1"/>
    <col min="2" max="2" width="11" style="18" customWidth="1"/>
    <col min="3" max="3" width="35.140625" style="18" bestFit="1" customWidth="1"/>
    <col min="4" max="4" width="17.7109375" style="18" bestFit="1" customWidth="1"/>
    <col min="5" max="5" width="25.7109375" style="18" bestFit="1" customWidth="1"/>
    <col min="6" max="6" width="17.140625" style="18" customWidth="1"/>
    <col min="7" max="7" width="12.42578125" style="18" bestFit="1" customWidth="1"/>
    <col min="8" max="258" width="8.85546875" style="18"/>
    <col min="259" max="259" width="7.42578125" style="18" customWidth="1"/>
    <col min="260" max="260" width="11" style="18" customWidth="1"/>
    <col min="261" max="261" width="35.140625" style="18" bestFit="1" customWidth="1"/>
    <col min="262" max="262" width="17.140625" style="18" customWidth="1"/>
    <col min="263" max="263" width="12.42578125" style="18" bestFit="1" customWidth="1"/>
    <col min="264" max="514" width="8.85546875" style="18"/>
    <col min="515" max="515" width="7.42578125" style="18" customWidth="1"/>
    <col min="516" max="516" width="11" style="18" customWidth="1"/>
    <col min="517" max="517" width="35.140625" style="18" bestFit="1" customWidth="1"/>
    <col min="518" max="518" width="17.140625" style="18" customWidth="1"/>
    <col min="519" max="519" width="12.42578125" style="18" bestFit="1" customWidth="1"/>
    <col min="520" max="770" width="8.85546875" style="18"/>
    <col min="771" max="771" width="7.42578125" style="18" customWidth="1"/>
    <col min="772" max="772" width="11" style="18" customWidth="1"/>
    <col min="773" max="773" width="35.140625" style="18" bestFit="1" customWidth="1"/>
    <col min="774" max="774" width="17.140625" style="18" customWidth="1"/>
    <col min="775" max="775" width="12.42578125" style="18" bestFit="1" customWidth="1"/>
    <col min="776" max="1026" width="8.85546875" style="18"/>
    <col min="1027" max="1027" width="7.42578125" style="18" customWidth="1"/>
    <col min="1028" max="1028" width="11" style="18" customWidth="1"/>
    <col min="1029" max="1029" width="35.140625" style="18" bestFit="1" customWidth="1"/>
    <col min="1030" max="1030" width="17.140625" style="18" customWidth="1"/>
    <col min="1031" max="1031" width="12.42578125" style="18" bestFit="1" customWidth="1"/>
    <col min="1032" max="1282" width="8.85546875" style="18"/>
    <col min="1283" max="1283" width="7.42578125" style="18" customWidth="1"/>
    <col min="1284" max="1284" width="11" style="18" customWidth="1"/>
    <col min="1285" max="1285" width="35.140625" style="18" bestFit="1" customWidth="1"/>
    <col min="1286" max="1286" width="17.140625" style="18" customWidth="1"/>
    <col min="1287" max="1287" width="12.42578125" style="18" bestFit="1" customWidth="1"/>
    <col min="1288" max="1538" width="8.85546875" style="18"/>
    <col min="1539" max="1539" width="7.42578125" style="18" customWidth="1"/>
    <col min="1540" max="1540" width="11" style="18" customWidth="1"/>
    <col min="1541" max="1541" width="35.140625" style="18" bestFit="1" customWidth="1"/>
    <col min="1542" max="1542" width="17.140625" style="18" customWidth="1"/>
    <col min="1543" max="1543" width="12.42578125" style="18" bestFit="1" customWidth="1"/>
    <col min="1544" max="1794" width="8.85546875" style="18"/>
    <col min="1795" max="1795" width="7.42578125" style="18" customWidth="1"/>
    <col min="1796" max="1796" width="11" style="18" customWidth="1"/>
    <col min="1797" max="1797" width="35.140625" style="18" bestFit="1" customWidth="1"/>
    <col min="1798" max="1798" width="17.140625" style="18" customWidth="1"/>
    <col min="1799" max="1799" width="12.42578125" style="18" bestFit="1" customWidth="1"/>
    <col min="1800" max="2050" width="8.85546875" style="18"/>
    <col min="2051" max="2051" width="7.42578125" style="18" customWidth="1"/>
    <col min="2052" max="2052" width="11" style="18" customWidth="1"/>
    <col min="2053" max="2053" width="35.140625" style="18" bestFit="1" customWidth="1"/>
    <col min="2054" max="2054" width="17.140625" style="18" customWidth="1"/>
    <col min="2055" max="2055" width="12.42578125" style="18" bestFit="1" customWidth="1"/>
    <col min="2056" max="2306" width="8.85546875" style="18"/>
    <col min="2307" max="2307" width="7.42578125" style="18" customWidth="1"/>
    <col min="2308" max="2308" width="11" style="18" customWidth="1"/>
    <col min="2309" max="2309" width="35.140625" style="18" bestFit="1" customWidth="1"/>
    <col min="2310" max="2310" width="17.140625" style="18" customWidth="1"/>
    <col min="2311" max="2311" width="12.42578125" style="18" bestFit="1" customWidth="1"/>
    <col min="2312" max="2562" width="8.85546875" style="18"/>
    <col min="2563" max="2563" width="7.42578125" style="18" customWidth="1"/>
    <col min="2564" max="2564" width="11" style="18" customWidth="1"/>
    <col min="2565" max="2565" width="35.140625" style="18" bestFit="1" customWidth="1"/>
    <col min="2566" max="2566" width="17.140625" style="18" customWidth="1"/>
    <col min="2567" max="2567" width="12.42578125" style="18" bestFit="1" customWidth="1"/>
    <col min="2568" max="2818" width="8.85546875" style="18"/>
    <col min="2819" max="2819" width="7.42578125" style="18" customWidth="1"/>
    <col min="2820" max="2820" width="11" style="18" customWidth="1"/>
    <col min="2821" max="2821" width="35.140625" style="18" bestFit="1" customWidth="1"/>
    <col min="2822" max="2822" width="17.140625" style="18" customWidth="1"/>
    <col min="2823" max="2823" width="12.42578125" style="18" bestFit="1" customWidth="1"/>
    <col min="2824" max="3074" width="8.85546875" style="18"/>
    <col min="3075" max="3075" width="7.42578125" style="18" customWidth="1"/>
    <col min="3076" max="3076" width="11" style="18" customWidth="1"/>
    <col min="3077" max="3077" width="35.140625" style="18" bestFit="1" customWidth="1"/>
    <col min="3078" max="3078" width="17.140625" style="18" customWidth="1"/>
    <col min="3079" max="3079" width="12.42578125" style="18" bestFit="1" customWidth="1"/>
    <col min="3080" max="3330" width="8.85546875" style="18"/>
    <col min="3331" max="3331" width="7.42578125" style="18" customWidth="1"/>
    <col min="3332" max="3332" width="11" style="18" customWidth="1"/>
    <col min="3333" max="3333" width="35.140625" style="18" bestFit="1" customWidth="1"/>
    <col min="3334" max="3334" width="17.140625" style="18" customWidth="1"/>
    <col min="3335" max="3335" width="12.42578125" style="18" bestFit="1" customWidth="1"/>
    <col min="3336" max="3586" width="8.85546875" style="18"/>
    <col min="3587" max="3587" width="7.42578125" style="18" customWidth="1"/>
    <col min="3588" max="3588" width="11" style="18" customWidth="1"/>
    <col min="3589" max="3589" width="35.140625" style="18" bestFit="1" customWidth="1"/>
    <col min="3590" max="3590" width="17.140625" style="18" customWidth="1"/>
    <col min="3591" max="3591" width="12.42578125" style="18" bestFit="1" customWidth="1"/>
    <col min="3592" max="3842" width="8.85546875" style="18"/>
    <col min="3843" max="3843" width="7.42578125" style="18" customWidth="1"/>
    <col min="3844" max="3844" width="11" style="18" customWidth="1"/>
    <col min="3845" max="3845" width="35.140625" style="18" bestFit="1" customWidth="1"/>
    <col min="3846" max="3846" width="17.140625" style="18" customWidth="1"/>
    <col min="3847" max="3847" width="12.42578125" style="18" bestFit="1" customWidth="1"/>
    <col min="3848" max="4098" width="8.85546875" style="18"/>
    <col min="4099" max="4099" width="7.42578125" style="18" customWidth="1"/>
    <col min="4100" max="4100" width="11" style="18" customWidth="1"/>
    <col min="4101" max="4101" width="35.140625" style="18" bestFit="1" customWidth="1"/>
    <col min="4102" max="4102" width="17.140625" style="18" customWidth="1"/>
    <col min="4103" max="4103" width="12.42578125" style="18" bestFit="1" customWidth="1"/>
    <col min="4104" max="4354" width="8.85546875" style="18"/>
    <col min="4355" max="4355" width="7.42578125" style="18" customWidth="1"/>
    <col min="4356" max="4356" width="11" style="18" customWidth="1"/>
    <col min="4357" max="4357" width="35.140625" style="18" bestFit="1" customWidth="1"/>
    <col min="4358" max="4358" width="17.140625" style="18" customWidth="1"/>
    <col min="4359" max="4359" width="12.42578125" style="18" bestFit="1" customWidth="1"/>
    <col min="4360" max="4610" width="8.85546875" style="18"/>
    <col min="4611" max="4611" width="7.42578125" style="18" customWidth="1"/>
    <col min="4612" max="4612" width="11" style="18" customWidth="1"/>
    <col min="4613" max="4613" width="35.140625" style="18" bestFit="1" customWidth="1"/>
    <col min="4614" max="4614" width="17.140625" style="18" customWidth="1"/>
    <col min="4615" max="4615" width="12.42578125" style="18" bestFit="1" customWidth="1"/>
    <col min="4616" max="4866" width="8.85546875" style="18"/>
    <col min="4867" max="4867" width="7.42578125" style="18" customWidth="1"/>
    <col min="4868" max="4868" width="11" style="18" customWidth="1"/>
    <col min="4869" max="4869" width="35.140625" style="18" bestFit="1" customWidth="1"/>
    <col min="4870" max="4870" width="17.140625" style="18" customWidth="1"/>
    <col min="4871" max="4871" width="12.42578125" style="18" bestFit="1" customWidth="1"/>
    <col min="4872" max="5122" width="8.85546875" style="18"/>
    <col min="5123" max="5123" width="7.42578125" style="18" customWidth="1"/>
    <col min="5124" max="5124" width="11" style="18" customWidth="1"/>
    <col min="5125" max="5125" width="35.140625" style="18" bestFit="1" customWidth="1"/>
    <col min="5126" max="5126" width="17.140625" style="18" customWidth="1"/>
    <col min="5127" max="5127" width="12.42578125" style="18" bestFit="1" customWidth="1"/>
    <col min="5128" max="5378" width="8.85546875" style="18"/>
    <col min="5379" max="5379" width="7.42578125" style="18" customWidth="1"/>
    <col min="5380" max="5380" width="11" style="18" customWidth="1"/>
    <col min="5381" max="5381" width="35.140625" style="18" bestFit="1" customWidth="1"/>
    <col min="5382" max="5382" width="17.140625" style="18" customWidth="1"/>
    <col min="5383" max="5383" width="12.42578125" style="18" bestFit="1" customWidth="1"/>
    <col min="5384" max="5634" width="8.85546875" style="18"/>
    <col min="5635" max="5635" width="7.42578125" style="18" customWidth="1"/>
    <col min="5636" max="5636" width="11" style="18" customWidth="1"/>
    <col min="5637" max="5637" width="35.140625" style="18" bestFit="1" customWidth="1"/>
    <col min="5638" max="5638" width="17.140625" style="18" customWidth="1"/>
    <col min="5639" max="5639" width="12.42578125" style="18" bestFit="1" customWidth="1"/>
    <col min="5640" max="5890" width="8.85546875" style="18"/>
    <col min="5891" max="5891" width="7.42578125" style="18" customWidth="1"/>
    <col min="5892" max="5892" width="11" style="18" customWidth="1"/>
    <col min="5893" max="5893" width="35.140625" style="18" bestFit="1" customWidth="1"/>
    <col min="5894" max="5894" width="17.140625" style="18" customWidth="1"/>
    <col min="5895" max="5895" width="12.42578125" style="18" bestFit="1" customWidth="1"/>
    <col min="5896" max="6146" width="8.85546875" style="18"/>
    <col min="6147" max="6147" width="7.42578125" style="18" customWidth="1"/>
    <col min="6148" max="6148" width="11" style="18" customWidth="1"/>
    <col min="6149" max="6149" width="35.140625" style="18" bestFit="1" customWidth="1"/>
    <col min="6150" max="6150" width="17.140625" style="18" customWidth="1"/>
    <col min="6151" max="6151" width="12.42578125" style="18" bestFit="1" customWidth="1"/>
    <col min="6152" max="6402" width="8.85546875" style="18"/>
    <col min="6403" max="6403" width="7.42578125" style="18" customWidth="1"/>
    <col min="6404" max="6404" width="11" style="18" customWidth="1"/>
    <col min="6405" max="6405" width="35.140625" style="18" bestFit="1" customWidth="1"/>
    <col min="6406" max="6406" width="17.140625" style="18" customWidth="1"/>
    <col min="6407" max="6407" width="12.42578125" style="18" bestFit="1" customWidth="1"/>
    <col min="6408" max="6658" width="8.85546875" style="18"/>
    <col min="6659" max="6659" width="7.42578125" style="18" customWidth="1"/>
    <col min="6660" max="6660" width="11" style="18" customWidth="1"/>
    <col min="6661" max="6661" width="35.140625" style="18" bestFit="1" customWidth="1"/>
    <col min="6662" max="6662" width="17.140625" style="18" customWidth="1"/>
    <col min="6663" max="6663" width="12.42578125" style="18" bestFit="1" customWidth="1"/>
    <col min="6664" max="6914" width="8.85546875" style="18"/>
    <col min="6915" max="6915" width="7.42578125" style="18" customWidth="1"/>
    <col min="6916" max="6916" width="11" style="18" customWidth="1"/>
    <col min="6917" max="6917" width="35.140625" style="18" bestFit="1" customWidth="1"/>
    <col min="6918" max="6918" width="17.140625" style="18" customWidth="1"/>
    <col min="6919" max="6919" width="12.42578125" style="18" bestFit="1" customWidth="1"/>
    <col min="6920" max="7170" width="8.85546875" style="18"/>
    <col min="7171" max="7171" width="7.42578125" style="18" customWidth="1"/>
    <col min="7172" max="7172" width="11" style="18" customWidth="1"/>
    <col min="7173" max="7173" width="35.140625" style="18" bestFit="1" customWidth="1"/>
    <col min="7174" max="7174" width="17.140625" style="18" customWidth="1"/>
    <col min="7175" max="7175" width="12.42578125" style="18" bestFit="1" customWidth="1"/>
    <col min="7176" max="7426" width="8.85546875" style="18"/>
    <col min="7427" max="7427" width="7.42578125" style="18" customWidth="1"/>
    <col min="7428" max="7428" width="11" style="18" customWidth="1"/>
    <col min="7429" max="7429" width="35.140625" style="18" bestFit="1" customWidth="1"/>
    <col min="7430" max="7430" width="17.140625" style="18" customWidth="1"/>
    <col min="7431" max="7431" width="12.42578125" style="18" bestFit="1" customWidth="1"/>
    <col min="7432" max="7682" width="8.85546875" style="18"/>
    <col min="7683" max="7683" width="7.42578125" style="18" customWidth="1"/>
    <col min="7684" max="7684" width="11" style="18" customWidth="1"/>
    <col min="7685" max="7685" width="35.140625" style="18" bestFit="1" customWidth="1"/>
    <col min="7686" max="7686" width="17.140625" style="18" customWidth="1"/>
    <col min="7687" max="7687" width="12.42578125" style="18" bestFit="1" customWidth="1"/>
    <col min="7688" max="7938" width="8.85546875" style="18"/>
    <col min="7939" max="7939" width="7.42578125" style="18" customWidth="1"/>
    <col min="7940" max="7940" width="11" style="18" customWidth="1"/>
    <col min="7941" max="7941" width="35.140625" style="18" bestFit="1" customWidth="1"/>
    <col min="7942" max="7942" width="17.140625" style="18" customWidth="1"/>
    <col min="7943" max="7943" width="12.42578125" style="18" bestFit="1" customWidth="1"/>
    <col min="7944" max="8194" width="8.85546875" style="18"/>
    <col min="8195" max="8195" width="7.42578125" style="18" customWidth="1"/>
    <col min="8196" max="8196" width="11" style="18" customWidth="1"/>
    <col min="8197" max="8197" width="35.140625" style="18" bestFit="1" customWidth="1"/>
    <col min="8198" max="8198" width="17.140625" style="18" customWidth="1"/>
    <col min="8199" max="8199" width="12.42578125" style="18" bestFit="1" customWidth="1"/>
    <col min="8200" max="8450" width="8.85546875" style="18"/>
    <col min="8451" max="8451" width="7.42578125" style="18" customWidth="1"/>
    <col min="8452" max="8452" width="11" style="18" customWidth="1"/>
    <col min="8453" max="8453" width="35.140625" style="18" bestFit="1" customWidth="1"/>
    <col min="8454" max="8454" width="17.140625" style="18" customWidth="1"/>
    <col min="8455" max="8455" width="12.42578125" style="18" bestFit="1" customWidth="1"/>
    <col min="8456" max="8706" width="8.85546875" style="18"/>
    <col min="8707" max="8707" width="7.42578125" style="18" customWidth="1"/>
    <col min="8708" max="8708" width="11" style="18" customWidth="1"/>
    <col min="8709" max="8709" width="35.140625" style="18" bestFit="1" customWidth="1"/>
    <col min="8710" max="8710" width="17.140625" style="18" customWidth="1"/>
    <col min="8711" max="8711" width="12.42578125" style="18" bestFit="1" customWidth="1"/>
    <col min="8712" max="8962" width="8.85546875" style="18"/>
    <col min="8963" max="8963" width="7.42578125" style="18" customWidth="1"/>
    <col min="8964" max="8964" width="11" style="18" customWidth="1"/>
    <col min="8965" max="8965" width="35.140625" style="18" bestFit="1" customWidth="1"/>
    <col min="8966" max="8966" width="17.140625" style="18" customWidth="1"/>
    <col min="8967" max="8967" width="12.42578125" style="18" bestFit="1" customWidth="1"/>
    <col min="8968" max="9218" width="8.85546875" style="18"/>
    <col min="9219" max="9219" width="7.42578125" style="18" customWidth="1"/>
    <col min="9220" max="9220" width="11" style="18" customWidth="1"/>
    <col min="9221" max="9221" width="35.140625" style="18" bestFit="1" customWidth="1"/>
    <col min="9222" max="9222" width="17.140625" style="18" customWidth="1"/>
    <col min="9223" max="9223" width="12.42578125" style="18" bestFit="1" customWidth="1"/>
    <col min="9224" max="9474" width="8.85546875" style="18"/>
    <col min="9475" max="9475" width="7.42578125" style="18" customWidth="1"/>
    <col min="9476" max="9476" width="11" style="18" customWidth="1"/>
    <col min="9477" max="9477" width="35.140625" style="18" bestFit="1" customWidth="1"/>
    <col min="9478" max="9478" width="17.140625" style="18" customWidth="1"/>
    <col min="9479" max="9479" width="12.42578125" style="18" bestFit="1" customWidth="1"/>
    <col min="9480" max="9730" width="8.85546875" style="18"/>
    <col min="9731" max="9731" width="7.42578125" style="18" customWidth="1"/>
    <col min="9732" max="9732" width="11" style="18" customWidth="1"/>
    <col min="9733" max="9733" width="35.140625" style="18" bestFit="1" customWidth="1"/>
    <col min="9734" max="9734" width="17.140625" style="18" customWidth="1"/>
    <col min="9735" max="9735" width="12.42578125" style="18" bestFit="1" customWidth="1"/>
    <col min="9736" max="9986" width="8.85546875" style="18"/>
    <col min="9987" max="9987" width="7.42578125" style="18" customWidth="1"/>
    <col min="9988" max="9988" width="11" style="18" customWidth="1"/>
    <col min="9989" max="9989" width="35.140625" style="18" bestFit="1" customWidth="1"/>
    <col min="9990" max="9990" width="17.140625" style="18" customWidth="1"/>
    <col min="9991" max="9991" width="12.42578125" style="18" bestFit="1" customWidth="1"/>
    <col min="9992" max="10242" width="8.85546875" style="18"/>
    <col min="10243" max="10243" width="7.42578125" style="18" customWidth="1"/>
    <col min="10244" max="10244" width="11" style="18" customWidth="1"/>
    <col min="10245" max="10245" width="35.140625" style="18" bestFit="1" customWidth="1"/>
    <col min="10246" max="10246" width="17.140625" style="18" customWidth="1"/>
    <col min="10247" max="10247" width="12.42578125" style="18" bestFit="1" customWidth="1"/>
    <col min="10248" max="10498" width="8.85546875" style="18"/>
    <col min="10499" max="10499" width="7.42578125" style="18" customWidth="1"/>
    <col min="10500" max="10500" width="11" style="18" customWidth="1"/>
    <col min="10501" max="10501" width="35.140625" style="18" bestFit="1" customWidth="1"/>
    <col min="10502" max="10502" width="17.140625" style="18" customWidth="1"/>
    <col min="10503" max="10503" width="12.42578125" style="18" bestFit="1" customWidth="1"/>
    <col min="10504" max="10754" width="8.85546875" style="18"/>
    <col min="10755" max="10755" width="7.42578125" style="18" customWidth="1"/>
    <col min="10756" max="10756" width="11" style="18" customWidth="1"/>
    <col min="10757" max="10757" width="35.140625" style="18" bestFit="1" customWidth="1"/>
    <col min="10758" max="10758" width="17.140625" style="18" customWidth="1"/>
    <col min="10759" max="10759" width="12.42578125" style="18" bestFit="1" customWidth="1"/>
    <col min="10760" max="11010" width="8.85546875" style="18"/>
    <col min="11011" max="11011" width="7.42578125" style="18" customWidth="1"/>
    <col min="11012" max="11012" width="11" style="18" customWidth="1"/>
    <col min="11013" max="11013" width="35.140625" style="18" bestFit="1" customWidth="1"/>
    <col min="11014" max="11014" width="17.140625" style="18" customWidth="1"/>
    <col min="11015" max="11015" width="12.42578125" style="18" bestFit="1" customWidth="1"/>
    <col min="11016" max="11266" width="8.85546875" style="18"/>
    <col min="11267" max="11267" width="7.42578125" style="18" customWidth="1"/>
    <col min="11268" max="11268" width="11" style="18" customWidth="1"/>
    <col min="11269" max="11269" width="35.140625" style="18" bestFit="1" customWidth="1"/>
    <col min="11270" max="11270" width="17.140625" style="18" customWidth="1"/>
    <col min="11271" max="11271" width="12.42578125" style="18" bestFit="1" customWidth="1"/>
    <col min="11272" max="11522" width="8.85546875" style="18"/>
    <col min="11523" max="11523" width="7.42578125" style="18" customWidth="1"/>
    <col min="11524" max="11524" width="11" style="18" customWidth="1"/>
    <col min="11525" max="11525" width="35.140625" style="18" bestFit="1" customWidth="1"/>
    <col min="11526" max="11526" width="17.140625" style="18" customWidth="1"/>
    <col min="11527" max="11527" width="12.42578125" style="18" bestFit="1" customWidth="1"/>
    <col min="11528" max="11778" width="8.85546875" style="18"/>
    <col min="11779" max="11779" width="7.42578125" style="18" customWidth="1"/>
    <col min="11780" max="11780" width="11" style="18" customWidth="1"/>
    <col min="11781" max="11781" width="35.140625" style="18" bestFit="1" customWidth="1"/>
    <col min="11782" max="11782" width="17.140625" style="18" customWidth="1"/>
    <col min="11783" max="11783" width="12.42578125" style="18" bestFit="1" customWidth="1"/>
    <col min="11784" max="12034" width="8.85546875" style="18"/>
    <col min="12035" max="12035" width="7.42578125" style="18" customWidth="1"/>
    <col min="12036" max="12036" width="11" style="18" customWidth="1"/>
    <col min="12037" max="12037" width="35.140625" style="18" bestFit="1" customWidth="1"/>
    <col min="12038" max="12038" width="17.140625" style="18" customWidth="1"/>
    <col min="12039" max="12039" width="12.42578125" style="18" bestFit="1" customWidth="1"/>
    <col min="12040" max="12290" width="8.85546875" style="18"/>
    <col min="12291" max="12291" width="7.42578125" style="18" customWidth="1"/>
    <col min="12292" max="12292" width="11" style="18" customWidth="1"/>
    <col min="12293" max="12293" width="35.140625" style="18" bestFit="1" customWidth="1"/>
    <col min="12294" max="12294" width="17.140625" style="18" customWidth="1"/>
    <col min="12295" max="12295" width="12.42578125" style="18" bestFit="1" customWidth="1"/>
    <col min="12296" max="12546" width="8.85546875" style="18"/>
    <col min="12547" max="12547" width="7.42578125" style="18" customWidth="1"/>
    <col min="12548" max="12548" width="11" style="18" customWidth="1"/>
    <col min="12549" max="12549" width="35.140625" style="18" bestFit="1" customWidth="1"/>
    <col min="12550" max="12550" width="17.140625" style="18" customWidth="1"/>
    <col min="12551" max="12551" width="12.42578125" style="18" bestFit="1" customWidth="1"/>
    <col min="12552" max="12802" width="8.85546875" style="18"/>
    <col min="12803" max="12803" width="7.42578125" style="18" customWidth="1"/>
    <col min="12804" max="12804" width="11" style="18" customWidth="1"/>
    <col min="12805" max="12805" width="35.140625" style="18" bestFit="1" customWidth="1"/>
    <col min="12806" max="12806" width="17.140625" style="18" customWidth="1"/>
    <col min="12807" max="12807" width="12.42578125" style="18" bestFit="1" customWidth="1"/>
    <col min="12808" max="13058" width="8.85546875" style="18"/>
    <col min="13059" max="13059" width="7.42578125" style="18" customWidth="1"/>
    <col min="13060" max="13060" width="11" style="18" customWidth="1"/>
    <col min="13061" max="13061" width="35.140625" style="18" bestFit="1" customWidth="1"/>
    <col min="13062" max="13062" width="17.140625" style="18" customWidth="1"/>
    <col min="13063" max="13063" width="12.42578125" style="18" bestFit="1" customWidth="1"/>
    <col min="13064" max="13314" width="8.85546875" style="18"/>
    <col min="13315" max="13315" width="7.42578125" style="18" customWidth="1"/>
    <col min="13316" max="13316" width="11" style="18" customWidth="1"/>
    <col min="13317" max="13317" width="35.140625" style="18" bestFit="1" customWidth="1"/>
    <col min="13318" max="13318" width="17.140625" style="18" customWidth="1"/>
    <col min="13319" max="13319" width="12.42578125" style="18" bestFit="1" customWidth="1"/>
    <col min="13320" max="13570" width="8.85546875" style="18"/>
    <col min="13571" max="13571" width="7.42578125" style="18" customWidth="1"/>
    <col min="13572" max="13572" width="11" style="18" customWidth="1"/>
    <col min="13573" max="13573" width="35.140625" style="18" bestFit="1" customWidth="1"/>
    <col min="13574" max="13574" width="17.140625" style="18" customWidth="1"/>
    <col min="13575" max="13575" width="12.42578125" style="18" bestFit="1" customWidth="1"/>
    <col min="13576" max="13826" width="8.85546875" style="18"/>
    <col min="13827" max="13827" width="7.42578125" style="18" customWidth="1"/>
    <col min="13828" max="13828" width="11" style="18" customWidth="1"/>
    <col min="13829" max="13829" width="35.140625" style="18" bestFit="1" customWidth="1"/>
    <col min="13830" max="13830" width="17.140625" style="18" customWidth="1"/>
    <col min="13831" max="13831" width="12.42578125" style="18" bestFit="1" customWidth="1"/>
    <col min="13832" max="14082" width="8.85546875" style="18"/>
    <col min="14083" max="14083" width="7.42578125" style="18" customWidth="1"/>
    <col min="14084" max="14084" width="11" style="18" customWidth="1"/>
    <col min="14085" max="14085" width="35.140625" style="18" bestFit="1" customWidth="1"/>
    <col min="14086" max="14086" width="17.140625" style="18" customWidth="1"/>
    <col min="14087" max="14087" width="12.42578125" style="18" bestFit="1" customWidth="1"/>
    <col min="14088" max="14338" width="8.85546875" style="18"/>
    <col min="14339" max="14339" width="7.42578125" style="18" customWidth="1"/>
    <col min="14340" max="14340" width="11" style="18" customWidth="1"/>
    <col min="14341" max="14341" width="35.140625" style="18" bestFit="1" customWidth="1"/>
    <col min="14342" max="14342" width="17.140625" style="18" customWidth="1"/>
    <col min="14343" max="14343" width="12.42578125" style="18" bestFit="1" customWidth="1"/>
    <col min="14344" max="14594" width="8.85546875" style="18"/>
    <col min="14595" max="14595" width="7.42578125" style="18" customWidth="1"/>
    <col min="14596" max="14596" width="11" style="18" customWidth="1"/>
    <col min="14597" max="14597" width="35.140625" style="18" bestFit="1" customWidth="1"/>
    <col min="14598" max="14598" width="17.140625" style="18" customWidth="1"/>
    <col min="14599" max="14599" width="12.42578125" style="18" bestFit="1" customWidth="1"/>
    <col min="14600" max="14850" width="8.85546875" style="18"/>
    <col min="14851" max="14851" width="7.42578125" style="18" customWidth="1"/>
    <col min="14852" max="14852" width="11" style="18" customWidth="1"/>
    <col min="14853" max="14853" width="35.140625" style="18" bestFit="1" customWidth="1"/>
    <col min="14854" max="14854" width="17.140625" style="18" customWidth="1"/>
    <col min="14855" max="14855" width="12.42578125" style="18" bestFit="1" customWidth="1"/>
    <col min="14856" max="15106" width="8.85546875" style="18"/>
    <col min="15107" max="15107" width="7.42578125" style="18" customWidth="1"/>
    <col min="15108" max="15108" width="11" style="18" customWidth="1"/>
    <col min="15109" max="15109" width="35.140625" style="18" bestFit="1" customWidth="1"/>
    <col min="15110" max="15110" width="17.140625" style="18" customWidth="1"/>
    <col min="15111" max="15111" width="12.42578125" style="18" bestFit="1" customWidth="1"/>
    <col min="15112" max="15362" width="8.85546875" style="18"/>
    <col min="15363" max="15363" width="7.42578125" style="18" customWidth="1"/>
    <col min="15364" max="15364" width="11" style="18" customWidth="1"/>
    <col min="15365" max="15365" width="35.140625" style="18" bestFit="1" customWidth="1"/>
    <col min="15366" max="15366" width="17.140625" style="18" customWidth="1"/>
    <col min="15367" max="15367" width="12.42578125" style="18" bestFit="1" customWidth="1"/>
    <col min="15368" max="15618" width="8.85546875" style="18"/>
    <col min="15619" max="15619" width="7.42578125" style="18" customWidth="1"/>
    <col min="15620" max="15620" width="11" style="18" customWidth="1"/>
    <col min="15621" max="15621" width="35.140625" style="18" bestFit="1" customWidth="1"/>
    <col min="15622" max="15622" width="17.140625" style="18" customWidth="1"/>
    <col min="15623" max="15623" width="12.42578125" style="18" bestFit="1" customWidth="1"/>
    <col min="15624" max="15874" width="8.85546875" style="18"/>
    <col min="15875" max="15875" width="7.42578125" style="18" customWidth="1"/>
    <col min="15876" max="15876" width="11" style="18" customWidth="1"/>
    <col min="15877" max="15877" width="35.140625" style="18" bestFit="1" customWidth="1"/>
    <col min="15878" max="15878" width="17.140625" style="18" customWidth="1"/>
    <col min="15879" max="15879" width="12.42578125" style="18" bestFit="1" customWidth="1"/>
    <col min="15880" max="16130" width="8.85546875" style="18"/>
    <col min="16131" max="16131" width="7.42578125" style="18" customWidth="1"/>
    <col min="16132" max="16132" width="11" style="18" customWidth="1"/>
    <col min="16133" max="16133" width="35.140625" style="18" bestFit="1" customWidth="1"/>
    <col min="16134" max="16134" width="17.140625" style="18" customWidth="1"/>
    <col min="16135" max="16135" width="12.42578125" style="18" bestFit="1" customWidth="1"/>
    <col min="16136" max="16384" width="8.85546875" style="18"/>
  </cols>
  <sheetData>
    <row r="1" spans="1:6" ht="15.75" x14ac:dyDescent="0.25">
      <c r="A1" s="104" t="s">
        <v>1491</v>
      </c>
      <c r="B1" s="104"/>
      <c r="C1" s="104"/>
      <c r="D1" s="104"/>
      <c r="E1" s="104"/>
      <c r="F1" s="104"/>
    </row>
    <row r="2" spans="1:6" ht="15.75" x14ac:dyDescent="0.25">
      <c r="A2" s="104" t="s">
        <v>1596</v>
      </c>
      <c r="B2" s="104"/>
      <c r="C2" s="104"/>
      <c r="D2" s="104"/>
      <c r="E2" s="104"/>
      <c r="F2" s="104"/>
    </row>
    <row r="3" spans="1:6" ht="15.75" x14ac:dyDescent="0.25">
      <c r="A3" s="104" t="s">
        <v>1492</v>
      </c>
      <c r="B3" s="104"/>
      <c r="C3" s="104"/>
      <c r="D3" s="104"/>
      <c r="E3" s="104"/>
      <c r="F3" s="104"/>
    </row>
    <row r="4" spans="1:6" ht="15.75" x14ac:dyDescent="0.25">
      <c r="A4" s="19"/>
      <c r="B4" s="19"/>
      <c r="C4" s="19"/>
      <c r="D4" s="19"/>
      <c r="E4" s="19"/>
      <c r="F4" s="19"/>
    </row>
    <row r="5" spans="1:6" ht="15.75" x14ac:dyDescent="0.25">
      <c r="A5" s="19"/>
      <c r="B5" s="19"/>
      <c r="C5" s="19"/>
      <c r="D5" s="19"/>
      <c r="E5" s="19"/>
      <c r="F5" s="19"/>
    </row>
    <row r="6" spans="1:6" s="21" customFormat="1" ht="67.5" customHeight="1" x14ac:dyDescent="0.25">
      <c r="A6" s="20" t="s">
        <v>1467</v>
      </c>
      <c r="B6" s="20" t="s">
        <v>1468</v>
      </c>
      <c r="C6" s="20" t="s">
        <v>1263</v>
      </c>
      <c r="D6" s="20" t="s">
        <v>1494</v>
      </c>
      <c r="E6" s="20" t="s">
        <v>1495</v>
      </c>
      <c r="F6" s="20" t="s">
        <v>1493</v>
      </c>
    </row>
    <row r="7" spans="1:6" ht="15.75" x14ac:dyDescent="0.25">
      <c r="A7" s="22"/>
      <c r="B7" s="22"/>
      <c r="C7" s="22"/>
      <c r="D7" s="22"/>
      <c r="E7" s="22"/>
      <c r="F7" s="22"/>
    </row>
    <row r="8" spans="1:6" s="24" customFormat="1" ht="15.75" x14ac:dyDescent="0.25">
      <c r="A8" s="23">
        <v>199</v>
      </c>
      <c r="B8" s="105" t="s">
        <v>1469</v>
      </c>
      <c r="C8" s="106"/>
      <c r="D8" s="106"/>
      <c r="E8" s="106"/>
      <c r="F8" s="107"/>
    </row>
    <row r="9" spans="1:6" ht="15.75" x14ac:dyDescent="0.25">
      <c r="A9" s="19"/>
      <c r="B9" s="25">
        <v>11</v>
      </c>
      <c r="C9" s="25" t="s">
        <v>1470</v>
      </c>
      <c r="D9" s="44">
        <f>Detail!E510</f>
        <v>13730566</v>
      </c>
      <c r="E9" s="44">
        <f>Detail!F510</f>
        <v>11210110.08</v>
      </c>
      <c r="F9" s="26">
        <f>Detail!H510</f>
        <v>11582413.936462689</v>
      </c>
    </row>
    <row r="10" spans="1:6" ht="15.75" x14ac:dyDescent="0.25">
      <c r="A10" s="19"/>
      <c r="B10" s="25">
        <v>12</v>
      </c>
      <c r="C10" s="25" t="s">
        <v>1471</v>
      </c>
      <c r="D10" s="44">
        <f>Detail!E598</f>
        <v>701111</v>
      </c>
      <c r="E10" s="44">
        <f>Detail!F598</f>
        <v>652613.31999999995</v>
      </c>
      <c r="F10" s="26">
        <f>Detail!H598</f>
        <v>587104.19684899994</v>
      </c>
    </row>
    <row r="11" spans="1:6" ht="15.75" x14ac:dyDescent="0.25">
      <c r="A11" s="19"/>
      <c r="B11" s="25">
        <v>13</v>
      </c>
      <c r="C11" s="25" t="s">
        <v>1472</v>
      </c>
      <c r="D11" s="44">
        <f>Detail!E637</f>
        <v>87207</v>
      </c>
      <c r="E11" s="44">
        <f>Detail!F637</f>
        <v>49086.6</v>
      </c>
      <c r="F11" s="26">
        <f>Detail!H637</f>
        <v>54136.75</v>
      </c>
    </row>
    <row r="12" spans="1:6" ht="15.75" x14ac:dyDescent="0.25">
      <c r="A12" s="19"/>
      <c r="B12" s="25">
        <v>21</v>
      </c>
      <c r="C12" s="25" t="s">
        <v>1473</v>
      </c>
      <c r="D12" s="44">
        <f>Detail!E693</f>
        <v>437254</v>
      </c>
      <c r="E12" s="44">
        <f>Detail!F693</f>
        <v>439124.29</v>
      </c>
      <c r="F12" s="26">
        <f>Detail!H693</f>
        <v>402278.22964099993</v>
      </c>
    </row>
    <row r="13" spans="1:6" ht="15.75" x14ac:dyDescent="0.25">
      <c r="A13" s="19"/>
      <c r="B13" s="25">
        <v>23</v>
      </c>
      <c r="C13" s="27" t="s">
        <v>1474</v>
      </c>
      <c r="D13" s="45">
        <f>Detail!E780</f>
        <v>1377844</v>
      </c>
      <c r="E13" s="45">
        <f>Detail!F780</f>
        <v>1188989.1100000001</v>
      </c>
      <c r="F13" s="26">
        <f>Detail!H780</f>
        <v>1307658.3228386997</v>
      </c>
    </row>
    <row r="14" spans="1:6" ht="15.75" x14ac:dyDescent="0.25">
      <c r="A14" s="19"/>
      <c r="B14" s="25">
        <v>31</v>
      </c>
      <c r="C14" s="25" t="s">
        <v>1475</v>
      </c>
      <c r="D14" s="44">
        <f>Detail!E906</f>
        <v>611314</v>
      </c>
      <c r="E14" s="44">
        <f>Detail!F906</f>
        <v>578012.38</v>
      </c>
      <c r="F14" s="26">
        <f>Detail!H906</f>
        <v>638195.93937075033</v>
      </c>
    </row>
    <row r="15" spans="1:6" ht="15.75" x14ac:dyDescent="0.25">
      <c r="A15" s="19"/>
      <c r="B15" s="25">
        <v>32</v>
      </c>
      <c r="C15" s="25" t="s">
        <v>1497</v>
      </c>
      <c r="D15" s="44">
        <f>Detail!E912</f>
        <v>7986</v>
      </c>
      <c r="E15" s="44">
        <f>Detail!F912</f>
        <v>4750</v>
      </c>
      <c r="F15" s="26">
        <f>Detail!H912</f>
        <v>7986</v>
      </c>
    </row>
    <row r="16" spans="1:6" ht="15.75" x14ac:dyDescent="0.25">
      <c r="A16" s="19"/>
      <c r="B16" s="25">
        <v>33</v>
      </c>
      <c r="C16" s="25" t="s">
        <v>1476</v>
      </c>
      <c r="D16" s="44">
        <f>Detail!E963</f>
        <v>208437</v>
      </c>
      <c r="E16" s="44">
        <f>Detail!F963</f>
        <v>146335.26999999999</v>
      </c>
      <c r="F16" s="26">
        <f>Detail!H963</f>
        <v>212510.66815350001</v>
      </c>
    </row>
    <row r="17" spans="1:6" ht="15.75" x14ac:dyDescent="0.25">
      <c r="A17" s="19"/>
      <c r="B17" s="25">
        <v>34</v>
      </c>
      <c r="C17" s="25" t="s">
        <v>1477</v>
      </c>
      <c r="D17" s="44">
        <f>Detail!E1004</f>
        <v>777575.09</v>
      </c>
      <c r="E17" s="44">
        <f>Detail!F1004</f>
        <v>875774.42</v>
      </c>
      <c r="F17" s="26">
        <f>Detail!H1004</f>
        <v>737802.97008599993</v>
      </c>
    </row>
    <row r="18" spans="1:6" ht="15.75" x14ac:dyDescent="0.25">
      <c r="A18" s="19"/>
      <c r="B18" s="25">
        <v>36</v>
      </c>
      <c r="C18" s="25" t="s">
        <v>1478</v>
      </c>
      <c r="D18" s="44">
        <f>Detail!E1134</f>
        <v>803144</v>
      </c>
      <c r="E18" s="44">
        <f>Detail!F1134</f>
        <v>721887.1</v>
      </c>
      <c r="F18" s="26">
        <f>Detail!H1134</f>
        <v>795778.26276059996</v>
      </c>
    </row>
    <row r="19" spans="1:6" ht="15.75" x14ac:dyDescent="0.25">
      <c r="A19" s="19"/>
      <c r="B19" s="25">
        <v>41</v>
      </c>
      <c r="C19" s="25" t="s">
        <v>1479</v>
      </c>
      <c r="D19" s="44">
        <f>Detail!E1200</f>
        <v>881012</v>
      </c>
      <c r="E19" s="44">
        <f>Detail!F1200</f>
        <v>779280.32</v>
      </c>
      <c r="F19" s="26">
        <f>Detail!H1200</f>
        <v>801182.57040810003</v>
      </c>
    </row>
    <row r="20" spans="1:6" ht="15.75" x14ac:dyDescent="0.25">
      <c r="A20" s="19"/>
      <c r="B20" s="25">
        <v>51</v>
      </c>
      <c r="C20" s="25" t="s">
        <v>1480</v>
      </c>
      <c r="D20" s="44">
        <f>Detail!E1243</f>
        <v>2550085.2400000002</v>
      </c>
      <c r="E20" s="44">
        <f>Detail!F1243</f>
        <v>2649293.5299999998</v>
      </c>
      <c r="F20" s="26">
        <f>Detail!H1243</f>
        <v>2784676.5637397501</v>
      </c>
    </row>
    <row r="21" spans="1:6" ht="15.75" x14ac:dyDescent="0.25">
      <c r="A21" s="19"/>
      <c r="B21" s="25">
        <v>52</v>
      </c>
      <c r="C21" s="25" t="s">
        <v>1481</v>
      </c>
      <c r="D21" s="44">
        <f>Detail!E1263</f>
        <v>43033</v>
      </c>
      <c r="E21" s="44">
        <f>Detail!F1263</f>
        <v>55548.61</v>
      </c>
      <c r="F21" s="26">
        <f>Detail!H1263</f>
        <v>46647</v>
      </c>
    </row>
    <row r="22" spans="1:6" ht="15.75" x14ac:dyDescent="0.25">
      <c r="A22" s="19"/>
      <c r="B22" s="25">
        <v>53</v>
      </c>
      <c r="C22" s="25" t="s">
        <v>1482</v>
      </c>
      <c r="D22" s="44">
        <f>Detail!E1296</f>
        <v>208308</v>
      </c>
      <c r="E22" s="44">
        <f>Detail!F1296</f>
        <v>220160.56</v>
      </c>
      <c r="F22" s="26">
        <f>Detail!H1296</f>
        <v>153890.57760085</v>
      </c>
    </row>
    <row r="23" spans="1:6" ht="15.75" x14ac:dyDescent="0.25">
      <c r="A23" s="19"/>
      <c r="B23" s="25">
        <v>61</v>
      </c>
      <c r="C23" s="25" t="s">
        <v>1498</v>
      </c>
      <c r="D23" s="44">
        <f>Detail!E1307</f>
        <v>0</v>
      </c>
      <c r="E23" s="44">
        <f>Detail!F1305</f>
        <v>17.150000000000002</v>
      </c>
      <c r="F23" s="26">
        <f>Detail!H1305</f>
        <v>0</v>
      </c>
    </row>
    <row r="24" spans="1:6" ht="15.75" x14ac:dyDescent="0.25">
      <c r="A24" s="19"/>
      <c r="B24" s="25">
        <v>71</v>
      </c>
      <c r="C24" s="25" t="s">
        <v>1483</v>
      </c>
      <c r="D24" s="44">
        <f>Detail!E1313</f>
        <v>487000</v>
      </c>
      <c r="E24" s="44">
        <f>Detail!F1313</f>
        <v>4643.51</v>
      </c>
      <c r="F24" s="26">
        <f>Detail!H1313</f>
        <v>487000</v>
      </c>
    </row>
    <row r="25" spans="1:6" ht="15.75" x14ac:dyDescent="0.25">
      <c r="A25" s="19"/>
      <c r="B25" s="25">
        <v>81</v>
      </c>
      <c r="C25" s="25" t="s">
        <v>1484</v>
      </c>
      <c r="D25" s="44">
        <f>Detail!E1319</f>
        <v>449800.49</v>
      </c>
      <c r="E25" s="44">
        <f>Detail!F1319</f>
        <v>375566.04</v>
      </c>
      <c r="F25" s="26">
        <f>Detail!H1319</f>
        <v>250000</v>
      </c>
    </row>
    <row r="26" spans="1:6" ht="15.75" x14ac:dyDescent="0.25">
      <c r="A26" s="19"/>
      <c r="B26" s="25">
        <v>91</v>
      </c>
      <c r="C26" s="25" t="s">
        <v>1485</v>
      </c>
      <c r="D26" s="44">
        <f>Detail!E1324</f>
        <v>6250000</v>
      </c>
      <c r="E26" s="44">
        <f>Detail!F1324</f>
        <v>5679489</v>
      </c>
      <c r="F26" s="26">
        <f>Detail!H1324</f>
        <v>3484576</v>
      </c>
    </row>
    <row r="27" spans="1:6" ht="15.75" x14ac:dyDescent="0.25">
      <c r="A27" s="19"/>
      <c r="B27" s="29">
        <v>99</v>
      </c>
      <c r="C27" s="29" t="s">
        <v>1486</v>
      </c>
      <c r="D27" s="48">
        <f>Detail!E1330</f>
        <v>655000</v>
      </c>
      <c r="E27" s="48">
        <f>Detail!F1330</f>
        <v>613830.68000000005</v>
      </c>
      <c r="F27" s="26">
        <f>Detail!H1330</f>
        <v>655000</v>
      </c>
    </row>
    <row r="28" spans="1:6" ht="15.75" x14ac:dyDescent="0.25">
      <c r="A28" s="19"/>
      <c r="B28" s="29"/>
      <c r="C28" s="49" t="s">
        <v>1499</v>
      </c>
      <c r="D28" s="48"/>
      <c r="E28" s="48"/>
      <c r="F28" s="26"/>
    </row>
    <row r="29" spans="1:6" ht="15.75" x14ac:dyDescent="0.25">
      <c r="A29" s="19"/>
      <c r="B29" s="30"/>
      <c r="C29" s="31" t="s">
        <v>1487</v>
      </c>
      <c r="D29" s="42">
        <f>SUM(D9:D28)</f>
        <v>30266676.819999997</v>
      </c>
      <c r="E29" s="42">
        <f>SUM(E9:E28)</f>
        <v>26244511.969999995</v>
      </c>
      <c r="F29" s="32">
        <f>SUM(F9:F27)</f>
        <v>24988837.987910941</v>
      </c>
    </row>
    <row r="30" spans="1:6" ht="15.75" x14ac:dyDescent="0.25">
      <c r="A30" s="34">
        <v>240</v>
      </c>
      <c r="B30" s="19"/>
      <c r="C30" s="22"/>
      <c r="D30" s="22"/>
      <c r="E30" s="22"/>
      <c r="F30" s="33"/>
    </row>
    <row r="31" spans="1:6" ht="15.75" x14ac:dyDescent="0.25">
      <c r="A31" s="19"/>
      <c r="B31" s="46" t="s">
        <v>1488</v>
      </c>
      <c r="C31" s="43"/>
      <c r="D31" s="43"/>
      <c r="E31" s="43"/>
      <c r="F31" s="47"/>
    </row>
    <row r="32" spans="1:6" ht="15.75" x14ac:dyDescent="0.25">
      <c r="A32" s="19"/>
      <c r="B32" s="51"/>
      <c r="C32" s="52" t="s">
        <v>1496</v>
      </c>
      <c r="D32" s="53">
        <f>'Food Service'!F11</f>
        <v>1397624</v>
      </c>
      <c r="E32" s="53">
        <f>'Food Service'!G11</f>
        <v>1317335</v>
      </c>
      <c r="F32" s="59">
        <f>'Food Service'!H11</f>
        <v>1397624</v>
      </c>
    </row>
    <row r="33" spans="1:6" ht="15.75" x14ac:dyDescent="0.25">
      <c r="A33" s="19"/>
      <c r="B33" s="29">
        <v>35</v>
      </c>
      <c r="C33" s="30" t="s">
        <v>1489</v>
      </c>
      <c r="D33" s="54">
        <f>'Food Service'!F19</f>
        <v>1379624</v>
      </c>
      <c r="E33" s="54">
        <f>'Food Service'!G19</f>
        <v>1375791</v>
      </c>
      <c r="F33" s="35">
        <f>'Food Service'!H19</f>
        <v>1379624</v>
      </c>
    </row>
    <row r="34" spans="1:6" ht="15.75" x14ac:dyDescent="0.25">
      <c r="A34" s="34">
        <v>599</v>
      </c>
      <c r="B34" s="19"/>
      <c r="C34" s="19"/>
      <c r="D34" s="19"/>
      <c r="E34" s="19"/>
      <c r="F34" s="28"/>
    </row>
    <row r="35" spans="1:6" ht="15.75" x14ac:dyDescent="0.25">
      <c r="A35" s="19"/>
      <c r="B35" s="46" t="s">
        <v>1483</v>
      </c>
      <c r="C35" s="43"/>
      <c r="D35" s="43"/>
      <c r="E35" s="43"/>
      <c r="F35" s="47"/>
    </row>
    <row r="36" spans="1:6" ht="15.75" x14ac:dyDescent="0.25">
      <c r="A36" s="19"/>
      <c r="B36" s="51"/>
      <c r="C36" s="55" t="s">
        <v>1496</v>
      </c>
      <c r="D36" s="57">
        <f>'Debt Service'!F8</f>
        <v>2603000</v>
      </c>
      <c r="E36" s="57">
        <f>'Debt Service'!G8</f>
        <v>2558918</v>
      </c>
      <c r="F36" s="60">
        <f>'Debt Service'!H8</f>
        <v>2225000</v>
      </c>
    </row>
    <row r="37" spans="1:6" ht="15.75" x14ac:dyDescent="0.25">
      <c r="A37" s="19"/>
      <c r="B37" s="29">
        <v>71</v>
      </c>
      <c r="C37" s="36" t="s">
        <v>1490</v>
      </c>
      <c r="D37" s="58">
        <f>'Debt Service'!F13</f>
        <v>2602288</v>
      </c>
      <c r="E37" s="58">
        <f>'Debt Service'!G13</f>
        <v>2288458</v>
      </c>
      <c r="F37" s="31">
        <f>'Debt Service'!H13</f>
        <v>2288000</v>
      </c>
    </row>
    <row r="38" spans="1:6" ht="15.75" x14ac:dyDescent="0.25">
      <c r="A38" s="19"/>
      <c r="B38" s="37"/>
      <c r="C38" s="37"/>
      <c r="D38" s="37"/>
      <c r="E38" s="37"/>
      <c r="F38" s="38"/>
    </row>
    <row r="39" spans="1:6" ht="15.75" x14ac:dyDescent="0.25">
      <c r="A39" s="19"/>
      <c r="B39" s="37"/>
      <c r="C39" s="37"/>
      <c r="D39" s="37"/>
      <c r="E39" s="37"/>
      <c r="F39" s="38"/>
    </row>
    <row r="40" spans="1:6" ht="15.75" x14ac:dyDescent="0.25">
      <c r="A40" s="39"/>
      <c r="B40" s="37"/>
      <c r="C40" s="37"/>
      <c r="D40" s="37"/>
      <c r="E40" s="37"/>
      <c r="F40" s="38"/>
    </row>
    <row r="41" spans="1:6" ht="15" x14ac:dyDescent="0.25">
      <c r="B41"/>
      <c r="C41"/>
      <c r="D41"/>
      <c r="E41"/>
    </row>
    <row r="42" spans="1:6" ht="15.75" x14ac:dyDescent="0.25">
      <c r="F42" s="40"/>
    </row>
    <row r="43" spans="1:6" ht="15.75" x14ac:dyDescent="0.25">
      <c r="F43" s="40"/>
    </row>
    <row r="44" spans="1:6" ht="15.75" x14ac:dyDescent="0.25">
      <c r="F44" s="40"/>
    </row>
    <row r="45" spans="1:6" ht="15.75" x14ac:dyDescent="0.25">
      <c r="F45" s="40"/>
    </row>
    <row r="46" spans="1:6" ht="15.75" x14ac:dyDescent="0.25">
      <c r="F46" s="40"/>
    </row>
    <row r="47" spans="1:6" x14ac:dyDescent="0.2">
      <c r="F47" s="41"/>
    </row>
    <row r="48" spans="1:6" x14ac:dyDescent="0.2">
      <c r="F48" s="41"/>
    </row>
    <row r="49" spans="6:6" x14ac:dyDescent="0.2">
      <c r="F49" s="41"/>
    </row>
    <row r="50" spans="6:6" x14ac:dyDescent="0.2">
      <c r="F50" s="41"/>
    </row>
    <row r="51" spans="6:6" x14ac:dyDescent="0.2">
      <c r="F51" s="41"/>
    </row>
    <row r="52" spans="6:6" x14ac:dyDescent="0.2">
      <c r="F52" s="41"/>
    </row>
    <row r="53" spans="6:6" x14ac:dyDescent="0.2">
      <c r="F53" s="41"/>
    </row>
    <row r="54" spans="6:6" x14ac:dyDescent="0.2">
      <c r="F54" s="41"/>
    </row>
    <row r="55" spans="6:6" x14ac:dyDescent="0.2">
      <c r="F55" s="41"/>
    </row>
    <row r="56" spans="6:6" x14ac:dyDescent="0.2">
      <c r="F56" s="41"/>
    </row>
    <row r="57" spans="6:6" x14ac:dyDescent="0.2">
      <c r="F57" s="41"/>
    </row>
    <row r="58" spans="6:6" x14ac:dyDescent="0.2">
      <c r="F58" s="41"/>
    </row>
    <row r="59" spans="6:6" x14ac:dyDescent="0.2">
      <c r="F59" s="41"/>
    </row>
    <row r="60" spans="6:6" x14ac:dyDescent="0.2">
      <c r="F60" s="41"/>
    </row>
    <row r="61" spans="6:6" x14ac:dyDescent="0.2">
      <c r="F61" s="41"/>
    </row>
    <row r="62" spans="6:6" x14ac:dyDescent="0.2">
      <c r="F62" s="41"/>
    </row>
    <row r="63" spans="6:6" x14ac:dyDescent="0.2">
      <c r="F63" s="41"/>
    </row>
    <row r="64" spans="6:6" x14ac:dyDescent="0.2">
      <c r="F64" s="41"/>
    </row>
    <row r="65" spans="6:6" x14ac:dyDescent="0.2">
      <c r="F65" s="41"/>
    </row>
    <row r="66" spans="6:6" x14ac:dyDescent="0.2">
      <c r="F66" s="41"/>
    </row>
    <row r="67" spans="6:6" x14ac:dyDescent="0.2">
      <c r="F67" s="41"/>
    </row>
    <row r="68" spans="6:6" x14ac:dyDescent="0.2">
      <c r="F68" s="41"/>
    </row>
    <row r="69" spans="6:6" x14ac:dyDescent="0.2">
      <c r="F69" s="41"/>
    </row>
    <row r="70" spans="6:6" x14ac:dyDescent="0.2">
      <c r="F70" s="41"/>
    </row>
    <row r="71" spans="6:6" x14ac:dyDescent="0.2">
      <c r="F71" s="41"/>
    </row>
    <row r="72" spans="6:6" x14ac:dyDescent="0.2">
      <c r="F72" s="41"/>
    </row>
    <row r="73" spans="6:6" x14ac:dyDescent="0.2">
      <c r="F73" s="41"/>
    </row>
    <row r="74" spans="6:6" x14ac:dyDescent="0.2">
      <c r="F74" s="41"/>
    </row>
  </sheetData>
  <mergeCells count="4">
    <mergeCell ref="A1:F1"/>
    <mergeCell ref="A2:F2"/>
    <mergeCell ref="A3:F3"/>
    <mergeCell ref="B8:F8"/>
  </mergeCells>
  <pageMargins left="0.7" right="0.7" top="0.75" bottom="0.75" header="0.3" footer="0.3"/>
  <pageSetup scale="79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36"/>
  <sheetViews>
    <sheetView workbookViewId="0">
      <selection activeCell="H66" sqref="H66"/>
    </sheetView>
  </sheetViews>
  <sheetFormatPr defaultColWidth="8.85546875" defaultRowHeight="15" x14ac:dyDescent="0.25"/>
  <cols>
    <col min="1" max="1" width="25.28515625" style="1" customWidth="1"/>
    <col min="2" max="2" width="48.28515625" style="1" customWidth="1"/>
    <col min="3" max="3" width="12" style="1" bestFit="1" customWidth="1"/>
    <col min="4" max="5" width="13.28515625" style="1" bestFit="1" customWidth="1"/>
    <col min="6" max="6" width="12" style="1" bestFit="1" customWidth="1"/>
    <col min="7" max="7" width="12" style="13" bestFit="1" customWidth="1"/>
    <col min="8" max="8" width="12.42578125" style="1" customWidth="1"/>
    <col min="9" max="9" width="9.42578125" style="1" bestFit="1" customWidth="1"/>
    <col min="11" max="12" width="8.85546875" style="1"/>
    <col min="13" max="14" width="13.7109375" style="1" customWidth="1"/>
    <col min="15" max="16384" width="8.85546875" style="1"/>
  </cols>
  <sheetData>
    <row r="1" spans="1:8" x14ac:dyDescent="0.25">
      <c r="A1" s="1" t="s">
        <v>0</v>
      </c>
      <c r="B1" s="1" t="s">
        <v>0</v>
      </c>
      <c r="C1" s="2" t="s">
        <v>1</v>
      </c>
      <c r="D1" s="2" t="s">
        <v>2</v>
      </c>
      <c r="E1" s="2" t="s">
        <v>2</v>
      </c>
      <c r="F1" s="2" t="s">
        <v>2</v>
      </c>
      <c r="G1" s="12" t="s">
        <v>1264</v>
      </c>
      <c r="H1" s="12" t="s">
        <v>1264</v>
      </c>
    </row>
    <row r="2" spans="1:8" ht="36.75" x14ac:dyDescent="0.25">
      <c r="A2" s="9" t="s">
        <v>3</v>
      </c>
      <c r="B2" s="9" t="s">
        <v>1263</v>
      </c>
      <c r="C2" s="10" t="s">
        <v>4</v>
      </c>
      <c r="D2" s="10" t="s">
        <v>5</v>
      </c>
      <c r="E2" s="10" t="s">
        <v>6</v>
      </c>
      <c r="F2" s="10" t="s">
        <v>7</v>
      </c>
      <c r="G2" s="11" t="s">
        <v>1273</v>
      </c>
      <c r="H2" s="11" t="s">
        <v>1554</v>
      </c>
    </row>
    <row r="3" spans="1:8" x14ac:dyDescent="0.25">
      <c r="A3" s="61" t="s">
        <v>8</v>
      </c>
      <c r="B3" s="61" t="s">
        <v>9</v>
      </c>
      <c r="C3" s="62">
        <v>27200391</v>
      </c>
      <c r="D3" s="62">
        <v>21500000</v>
      </c>
      <c r="E3" s="62">
        <v>21500000</v>
      </c>
      <c r="F3" s="62">
        <v>20793976.059999999</v>
      </c>
      <c r="G3" s="63">
        <v>21316515</v>
      </c>
      <c r="H3" s="63">
        <v>21316515</v>
      </c>
    </row>
    <row r="4" spans="1:8" x14ac:dyDescent="0.25">
      <c r="A4" s="61" t="s">
        <v>10</v>
      </c>
      <c r="B4" s="61" t="s">
        <v>11</v>
      </c>
      <c r="C4" s="62">
        <v>148407</v>
      </c>
      <c r="D4" s="62">
        <v>80000</v>
      </c>
      <c r="E4" s="62">
        <v>80000</v>
      </c>
      <c r="F4" s="62">
        <v>206302.56</v>
      </c>
      <c r="G4" s="63">
        <v>125000</v>
      </c>
      <c r="H4" s="63">
        <v>125000</v>
      </c>
    </row>
    <row r="5" spans="1:8" x14ac:dyDescent="0.25">
      <c r="A5" s="61" t="s">
        <v>12</v>
      </c>
      <c r="B5" s="61" t="s">
        <v>13</v>
      </c>
      <c r="C5" s="62">
        <v>157978</v>
      </c>
      <c r="D5" s="62">
        <v>60000</v>
      </c>
      <c r="E5" s="62">
        <v>60000</v>
      </c>
      <c r="F5" s="62">
        <v>167514.60999999999</v>
      </c>
      <c r="G5" s="63">
        <v>125000</v>
      </c>
      <c r="H5" s="63">
        <v>125000</v>
      </c>
    </row>
    <row r="6" spans="1:8" x14ac:dyDescent="0.25">
      <c r="A6" s="61" t="s">
        <v>14</v>
      </c>
      <c r="B6" s="61" t="s">
        <v>15</v>
      </c>
      <c r="C6" s="62">
        <v>0</v>
      </c>
      <c r="D6" s="62">
        <v>0</v>
      </c>
      <c r="E6" s="62">
        <v>0</v>
      </c>
      <c r="F6" s="62">
        <v>1399.51</v>
      </c>
      <c r="G6" s="63">
        <v>0</v>
      </c>
      <c r="H6" s="63">
        <v>0</v>
      </c>
    </row>
    <row r="7" spans="1:8" x14ac:dyDescent="0.25">
      <c r="A7" s="61" t="s">
        <v>16</v>
      </c>
      <c r="B7" s="61" t="s">
        <v>1266</v>
      </c>
      <c r="C7" s="62">
        <v>330</v>
      </c>
      <c r="D7" s="62">
        <v>0</v>
      </c>
      <c r="E7" s="62">
        <v>0</v>
      </c>
      <c r="F7" s="62">
        <v>0</v>
      </c>
      <c r="G7" s="63">
        <v>0</v>
      </c>
      <c r="H7" s="63">
        <v>0</v>
      </c>
    </row>
    <row r="8" spans="1:8" x14ac:dyDescent="0.25">
      <c r="A8" s="61" t="s">
        <v>17</v>
      </c>
      <c r="B8" s="61" t="s">
        <v>1265</v>
      </c>
      <c r="C8" s="62">
        <v>145319</v>
      </c>
      <c r="D8" s="62">
        <v>105000</v>
      </c>
      <c r="E8" s="62">
        <v>105000</v>
      </c>
      <c r="F8" s="62">
        <v>158053.42000000001</v>
      </c>
      <c r="G8" s="63">
        <v>140000</v>
      </c>
      <c r="H8" s="63">
        <v>140000</v>
      </c>
    </row>
    <row r="9" spans="1:8" x14ac:dyDescent="0.25">
      <c r="A9" s="61" t="s">
        <v>18</v>
      </c>
      <c r="B9" s="61" t="s">
        <v>19</v>
      </c>
      <c r="C9" s="62">
        <v>3555</v>
      </c>
      <c r="D9" s="62">
        <v>1500</v>
      </c>
      <c r="E9" s="62">
        <v>1500</v>
      </c>
      <c r="F9" s="62">
        <v>4100</v>
      </c>
      <c r="G9" s="63">
        <v>3000</v>
      </c>
      <c r="H9" s="63">
        <v>3000</v>
      </c>
    </row>
    <row r="10" spans="1:8" x14ac:dyDescent="0.25">
      <c r="A10" s="61" t="s">
        <v>20</v>
      </c>
      <c r="B10" s="61" t="s">
        <v>21</v>
      </c>
      <c r="C10" s="62">
        <v>0</v>
      </c>
      <c r="D10" s="62">
        <v>0</v>
      </c>
      <c r="E10" s="62">
        <v>39876.82</v>
      </c>
      <c r="F10" s="62">
        <v>1578826.83</v>
      </c>
      <c r="G10" s="63">
        <v>0</v>
      </c>
      <c r="H10" s="63">
        <v>0</v>
      </c>
    </row>
    <row r="11" spans="1:8" x14ac:dyDescent="0.25">
      <c r="A11" s="61" t="s">
        <v>22</v>
      </c>
      <c r="B11" s="61" t="s">
        <v>23</v>
      </c>
      <c r="C11" s="62">
        <v>206807</v>
      </c>
      <c r="D11" s="62">
        <v>0</v>
      </c>
      <c r="E11" s="62">
        <v>0</v>
      </c>
      <c r="F11" s="62">
        <v>0</v>
      </c>
      <c r="G11" s="63">
        <v>0</v>
      </c>
      <c r="H11" s="63">
        <v>0</v>
      </c>
    </row>
    <row r="12" spans="1:8" x14ac:dyDescent="0.25">
      <c r="A12" s="61" t="s">
        <v>24</v>
      </c>
      <c r="B12" s="61" t="s">
        <v>1267</v>
      </c>
      <c r="C12" s="62">
        <v>17579</v>
      </c>
      <c r="D12" s="62">
        <v>10000</v>
      </c>
      <c r="E12" s="62">
        <v>10000</v>
      </c>
      <c r="F12" s="62">
        <v>17563.14</v>
      </c>
      <c r="G12" s="63">
        <v>10000</v>
      </c>
      <c r="H12" s="63">
        <v>10000</v>
      </c>
    </row>
    <row r="13" spans="1:8" x14ac:dyDescent="0.25">
      <c r="A13" s="61" t="s">
        <v>25</v>
      </c>
      <c r="B13" s="61" t="s">
        <v>26</v>
      </c>
      <c r="C13" s="62">
        <v>27779</v>
      </c>
      <c r="D13" s="62">
        <v>16000</v>
      </c>
      <c r="E13" s="62">
        <v>16000</v>
      </c>
      <c r="F13" s="62">
        <v>40379.57</v>
      </c>
      <c r="G13" s="63">
        <v>25000</v>
      </c>
      <c r="H13" s="63">
        <v>25000</v>
      </c>
    </row>
    <row r="14" spans="1:8" x14ac:dyDescent="0.25">
      <c r="A14" s="61" t="s">
        <v>27</v>
      </c>
      <c r="B14" s="61" t="s">
        <v>1268</v>
      </c>
      <c r="C14" s="62">
        <v>92</v>
      </c>
      <c r="D14" s="62">
        <v>0</v>
      </c>
      <c r="E14" s="62">
        <v>0</v>
      </c>
      <c r="F14" s="62">
        <v>237.17</v>
      </c>
      <c r="G14" s="63">
        <v>0</v>
      </c>
      <c r="H14" s="63">
        <v>0</v>
      </c>
    </row>
    <row r="15" spans="1:8" x14ac:dyDescent="0.25">
      <c r="A15" s="61" t="s">
        <v>28</v>
      </c>
      <c r="B15" s="61" t="s">
        <v>1269</v>
      </c>
      <c r="C15" s="62">
        <v>336288</v>
      </c>
      <c r="D15" s="62">
        <v>292000</v>
      </c>
      <c r="E15" s="62">
        <v>292000</v>
      </c>
      <c r="F15" s="62">
        <v>762398</v>
      </c>
      <c r="G15" s="63">
        <f>700000+250000</f>
        <v>950000</v>
      </c>
      <c r="H15" s="63">
        <f>700000+250000</f>
        <v>950000</v>
      </c>
    </row>
    <row r="16" spans="1:8" x14ac:dyDescent="0.25">
      <c r="A16" s="61" t="s">
        <v>29</v>
      </c>
      <c r="B16" s="61" t="s">
        <v>1270</v>
      </c>
      <c r="C16" s="62">
        <v>8085</v>
      </c>
      <c r="D16" s="62">
        <v>0</v>
      </c>
      <c r="E16" s="62">
        <v>0</v>
      </c>
      <c r="F16" s="64">
        <v>-8190.97</v>
      </c>
      <c r="G16" s="63">
        <v>0</v>
      </c>
      <c r="H16" s="63">
        <v>0</v>
      </c>
    </row>
    <row r="17" spans="1:8" x14ac:dyDescent="0.25">
      <c r="A17" s="61" t="s">
        <v>30</v>
      </c>
      <c r="B17" s="61" t="s">
        <v>31</v>
      </c>
      <c r="C17" s="62">
        <v>469374</v>
      </c>
      <c r="D17" s="62">
        <v>1000000</v>
      </c>
      <c r="E17" s="62">
        <v>1000000</v>
      </c>
      <c r="F17" s="62">
        <v>701967</v>
      </c>
      <c r="G17" s="63">
        <v>600695</v>
      </c>
      <c r="H17" s="63">
        <v>600695</v>
      </c>
    </row>
    <row r="18" spans="1:8" x14ac:dyDescent="0.25">
      <c r="A18" s="61" t="s">
        <v>32</v>
      </c>
      <c r="B18" s="61" t="s">
        <v>33</v>
      </c>
      <c r="C18" s="62">
        <v>10808456</v>
      </c>
      <c r="D18" s="62">
        <v>9100000</v>
      </c>
      <c r="E18" s="62">
        <v>9100000</v>
      </c>
      <c r="F18" s="62">
        <v>13760300</v>
      </c>
      <c r="G18" s="63">
        <v>742941</v>
      </c>
      <c r="H18" s="63">
        <v>742941</v>
      </c>
    </row>
    <row r="19" spans="1:8" x14ac:dyDescent="0.25">
      <c r="A19" s="61" t="s">
        <v>34</v>
      </c>
      <c r="B19" s="61" t="s">
        <v>35</v>
      </c>
      <c r="C19" s="62">
        <v>0</v>
      </c>
      <c r="D19" s="62">
        <v>0</v>
      </c>
      <c r="E19" s="62">
        <v>0</v>
      </c>
      <c r="F19" s="62">
        <v>7696</v>
      </c>
      <c r="G19" s="63">
        <v>0</v>
      </c>
      <c r="H19" s="63">
        <v>0</v>
      </c>
    </row>
    <row r="20" spans="1:8" x14ac:dyDescent="0.25">
      <c r="A20" s="61" t="s">
        <v>36</v>
      </c>
      <c r="B20" s="61" t="s">
        <v>37</v>
      </c>
      <c r="C20" s="62">
        <v>8304</v>
      </c>
      <c r="D20" s="62">
        <v>25000</v>
      </c>
      <c r="E20" s="62">
        <v>25000</v>
      </c>
      <c r="F20" s="62">
        <v>0</v>
      </c>
      <c r="G20" s="63">
        <v>25000</v>
      </c>
      <c r="H20" s="63">
        <v>25000</v>
      </c>
    </row>
    <row r="21" spans="1:8" x14ac:dyDescent="0.25">
      <c r="A21" s="61" t="s">
        <v>38</v>
      </c>
      <c r="B21" s="61" t="s">
        <v>1271</v>
      </c>
      <c r="C21" s="62">
        <v>0</v>
      </c>
      <c r="D21" s="62">
        <v>0</v>
      </c>
      <c r="E21" s="62">
        <v>0</v>
      </c>
      <c r="F21" s="62">
        <v>27929</v>
      </c>
      <c r="G21" s="63">
        <v>0</v>
      </c>
      <c r="H21" s="63">
        <v>0</v>
      </c>
    </row>
    <row r="22" spans="1:8" x14ac:dyDescent="0.25">
      <c r="A22" s="61" t="s">
        <v>39</v>
      </c>
      <c r="B22" s="61" t="s">
        <v>40</v>
      </c>
      <c r="C22" s="62">
        <v>986867</v>
      </c>
      <c r="D22" s="62">
        <v>760513</v>
      </c>
      <c r="E22" s="62">
        <v>760513</v>
      </c>
      <c r="F22" s="62">
        <v>819838.18</v>
      </c>
      <c r="G22" s="63">
        <v>760513</v>
      </c>
      <c r="H22" s="63">
        <f>G22+(G22*3%)</f>
        <v>783328.39</v>
      </c>
    </row>
    <row r="23" spans="1:8" x14ac:dyDescent="0.25">
      <c r="A23" s="61" t="s">
        <v>41</v>
      </c>
      <c r="B23" s="61" t="s">
        <v>42</v>
      </c>
      <c r="C23" s="62">
        <v>16219</v>
      </c>
      <c r="D23" s="62">
        <v>0</v>
      </c>
      <c r="E23" s="62">
        <v>0</v>
      </c>
      <c r="F23" s="62">
        <v>0</v>
      </c>
      <c r="G23" s="63">
        <v>0</v>
      </c>
      <c r="H23" s="63">
        <v>0</v>
      </c>
    </row>
    <row r="24" spans="1:8" x14ac:dyDescent="0.25">
      <c r="A24" s="61" t="s">
        <v>43</v>
      </c>
      <c r="B24" s="61" t="s">
        <v>1272</v>
      </c>
      <c r="C24" s="62">
        <v>177535</v>
      </c>
      <c r="D24" s="62">
        <v>140000</v>
      </c>
      <c r="E24" s="62">
        <v>140000</v>
      </c>
      <c r="F24" s="62">
        <v>183248.47</v>
      </c>
      <c r="G24" s="63">
        <v>175000</v>
      </c>
      <c r="H24" s="63">
        <v>175000</v>
      </c>
    </row>
    <row r="25" spans="1:8" ht="15.75" thickBot="1" x14ac:dyDescent="0.3">
      <c r="A25" s="61" t="s">
        <v>44</v>
      </c>
      <c r="B25" s="61" t="s">
        <v>45</v>
      </c>
      <c r="C25" s="65">
        <v>3000</v>
      </c>
      <c r="D25" s="65">
        <v>0</v>
      </c>
      <c r="E25" s="65">
        <v>0</v>
      </c>
      <c r="F25" s="65">
        <v>22461.9</v>
      </c>
      <c r="G25" s="66">
        <v>0</v>
      </c>
      <c r="H25" s="66">
        <v>0</v>
      </c>
    </row>
    <row r="26" spans="1:8" x14ac:dyDescent="0.25">
      <c r="A26" s="1" t="s">
        <v>46</v>
      </c>
      <c r="B26" s="1" t="s">
        <v>47</v>
      </c>
      <c r="C26" s="6">
        <v>40722365</v>
      </c>
      <c r="D26" s="6">
        <v>33090013</v>
      </c>
      <c r="E26" s="6">
        <v>33129889.82</v>
      </c>
      <c r="F26" s="6">
        <v>39246000.450000003</v>
      </c>
      <c r="G26" s="14">
        <f>SUM(G3:G25)</f>
        <v>24998664</v>
      </c>
      <c r="H26" s="14">
        <f>SUM(H3:H25)</f>
        <v>25021479.390000001</v>
      </c>
    </row>
    <row r="27" spans="1:8" x14ac:dyDescent="0.25">
      <c r="C27" s="4"/>
      <c r="D27" s="4"/>
      <c r="E27" s="4"/>
      <c r="F27" s="4"/>
    </row>
    <row r="28" spans="1:8" x14ac:dyDescent="0.25">
      <c r="A28" s="75" t="s">
        <v>48</v>
      </c>
      <c r="B28" s="75" t="s">
        <v>49</v>
      </c>
      <c r="C28" s="63">
        <v>81669</v>
      </c>
      <c r="D28" s="63">
        <v>119253</v>
      </c>
      <c r="E28" s="63">
        <v>119253</v>
      </c>
      <c r="F28" s="63">
        <v>77544.13</v>
      </c>
      <c r="G28" s="63">
        <v>85000</v>
      </c>
      <c r="H28" s="63">
        <v>85000</v>
      </c>
    </row>
    <row r="29" spans="1:8" x14ac:dyDescent="0.25">
      <c r="A29" s="75" t="s">
        <v>50</v>
      </c>
      <c r="B29" s="75" t="s">
        <v>49</v>
      </c>
      <c r="C29" s="63">
        <v>150</v>
      </c>
      <c r="D29" s="63">
        <v>5000</v>
      </c>
      <c r="E29" s="63">
        <v>5000</v>
      </c>
      <c r="F29" s="63">
        <v>137.5</v>
      </c>
      <c r="G29" s="63">
        <v>500</v>
      </c>
      <c r="H29" s="63">
        <v>500</v>
      </c>
    </row>
    <row r="30" spans="1:8" x14ac:dyDescent="0.25">
      <c r="A30" s="75" t="s">
        <v>51</v>
      </c>
      <c r="B30" s="75" t="s">
        <v>49</v>
      </c>
      <c r="C30" s="63" t="s">
        <v>0</v>
      </c>
      <c r="D30" s="63">
        <v>5000</v>
      </c>
      <c r="E30" s="63">
        <v>5000</v>
      </c>
      <c r="F30" s="63" t="s">
        <v>0</v>
      </c>
      <c r="G30" s="63">
        <v>0</v>
      </c>
      <c r="H30" s="63">
        <v>0</v>
      </c>
    </row>
    <row r="31" spans="1:8" x14ac:dyDescent="0.25">
      <c r="A31" s="75" t="s">
        <v>52</v>
      </c>
      <c r="B31" s="75" t="s">
        <v>49</v>
      </c>
      <c r="C31" s="63" t="s">
        <v>0</v>
      </c>
      <c r="D31" s="63">
        <v>2000</v>
      </c>
      <c r="E31" s="63">
        <v>2000</v>
      </c>
      <c r="F31" s="63" t="s">
        <v>0</v>
      </c>
      <c r="G31" s="63">
        <v>0</v>
      </c>
      <c r="H31" s="63">
        <v>0</v>
      </c>
    </row>
    <row r="32" spans="1:8" x14ac:dyDescent="0.25">
      <c r="A32" s="75" t="s">
        <v>53</v>
      </c>
      <c r="B32" s="75" t="s">
        <v>49</v>
      </c>
      <c r="C32" s="63" t="s">
        <v>0</v>
      </c>
      <c r="D32" s="63">
        <v>2000</v>
      </c>
      <c r="E32" s="63">
        <v>2000</v>
      </c>
      <c r="F32" s="63" t="s">
        <v>0</v>
      </c>
      <c r="G32" s="63">
        <v>0</v>
      </c>
      <c r="H32" s="63">
        <v>0</v>
      </c>
    </row>
    <row r="33" spans="1:8" x14ac:dyDescent="0.25">
      <c r="A33" s="75" t="s">
        <v>54</v>
      </c>
      <c r="B33" s="75" t="s">
        <v>49</v>
      </c>
      <c r="C33" s="63">
        <v>48636</v>
      </c>
      <c r="D33" s="63">
        <v>53000</v>
      </c>
      <c r="E33" s="63">
        <v>53000</v>
      </c>
      <c r="F33" s="63">
        <v>52642.8</v>
      </c>
      <c r="G33" s="63">
        <v>53000</v>
      </c>
      <c r="H33" s="63">
        <v>53000</v>
      </c>
    </row>
    <row r="34" spans="1:8" x14ac:dyDescent="0.25">
      <c r="A34" s="75" t="s">
        <v>55</v>
      </c>
      <c r="B34" s="75" t="s">
        <v>49</v>
      </c>
      <c r="C34" s="63">
        <v>1102</v>
      </c>
      <c r="D34" s="63">
        <v>5000</v>
      </c>
      <c r="E34" s="63">
        <v>5000</v>
      </c>
      <c r="F34" s="63">
        <v>1973.75</v>
      </c>
      <c r="G34" s="63">
        <v>2000</v>
      </c>
      <c r="H34" s="63">
        <v>2000</v>
      </c>
    </row>
    <row r="35" spans="1:8" x14ac:dyDescent="0.25">
      <c r="A35" s="75" t="s">
        <v>56</v>
      </c>
      <c r="B35" s="75" t="s">
        <v>49</v>
      </c>
      <c r="C35" s="63">
        <v>445</v>
      </c>
      <c r="D35" s="63">
        <v>2000</v>
      </c>
      <c r="E35" s="63">
        <v>2000</v>
      </c>
      <c r="F35" s="63" t="s">
        <v>0</v>
      </c>
      <c r="G35" s="63">
        <v>0</v>
      </c>
      <c r="H35" s="63">
        <v>0</v>
      </c>
    </row>
    <row r="36" spans="1:8" x14ac:dyDescent="0.25">
      <c r="A36" s="75" t="s">
        <v>57</v>
      </c>
      <c r="B36" s="75" t="s">
        <v>49</v>
      </c>
      <c r="C36" s="63">
        <v>11276</v>
      </c>
      <c r="D36" s="63">
        <v>10000</v>
      </c>
      <c r="E36" s="63">
        <v>10000</v>
      </c>
      <c r="F36" s="63" t="s">
        <v>0</v>
      </c>
      <c r="G36" s="63">
        <v>0</v>
      </c>
      <c r="H36" s="63">
        <v>0</v>
      </c>
    </row>
    <row r="37" spans="1:8" x14ac:dyDescent="0.25">
      <c r="A37" s="75" t="s">
        <v>58</v>
      </c>
      <c r="B37" s="75" t="s">
        <v>49</v>
      </c>
      <c r="C37" s="63">
        <v>2553</v>
      </c>
      <c r="D37" s="63">
        <v>5000</v>
      </c>
      <c r="E37" s="63">
        <v>5000</v>
      </c>
      <c r="F37" s="63" t="s">
        <v>0</v>
      </c>
      <c r="G37" s="63">
        <v>0</v>
      </c>
      <c r="H37" s="63">
        <v>0</v>
      </c>
    </row>
    <row r="38" spans="1:8" x14ac:dyDescent="0.25">
      <c r="A38" s="75" t="s">
        <v>59</v>
      </c>
      <c r="B38" s="75" t="s">
        <v>49</v>
      </c>
      <c r="C38" s="63">
        <v>619</v>
      </c>
      <c r="D38" s="63">
        <v>2000</v>
      </c>
      <c r="E38" s="63">
        <v>2000</v>
      </c>
      <c r="F38" s="63" t="s">
        <v>0</v>
      </c>
      <c r="G38" s="63">
        <v>0</v>
      </c>
      <c r="H38" s="63">
        <v>0</v>
      </c>
    </row>
    <row r="39" spans="1:8" x14ac:dyDescent="0.25">
      <c r="A39" s="75" t="s">
        <v>60</v>
      </c>
      <c r="B39" s="75" t="s">
        <v>49</v>
      </c>
      <c r="C39" s="63">
        <v>5208</v>
      </c>
      <c r="D39" s="63">
        <v>8000</v>
      </c>
      <c r="E39" s="63">
        <v>8000</v>
      </c>
      <c r="F39" s="63" t="s">
        <v>0</v>
      </c>
      <c r="G39" s="63">
        <v>0</v>
      </c>
      <c r="H39" s="63">
        <v>0</v>
      </c>
    </row>
    <row r="40" spans="1:8" x14ac:dyDescent="0.25">
      <c r="A40" s="75" t="s">
        <v>61</v>
      </c>
      <c r="B40" s="75" t="s">
        <v>49</v>
      </c>
      <c r="C40" s="63">
        <v>30755</v>
      </c>
      <c r="D40" s="63">
        <v>35000</v>
      </c>
      <c r="E40" s="63">
        <v>35000</v>
      </c>
      <c r="F40" s="63">
        <v>60925</v>
      </c>
      <c r="G40" s="63">
        <v>35000</v>
      </c>
      <c r="H40" s="63">
        <v>35000</v>
      </c>
    </row>
    <row r="41" spans="1:8" x14ac:dyDescent="0.25">
      <c r="A41" s="75" t="s">
        <v>62</v>
      </c>
      <c r="B41" s="75" t="s">
        <v>49</v>
      </c>
      <c r="C41" s="63" t="s">
        <v>0</v>
      </c>
      <c r="D41" s="63">
        <v>5000</v>
      </c>
      <c r="E41" s="63">
        <v>5000</v>
      </c>
      <c r="F41" s="63">
        <v>2290</v>
      </c>
      <c r="G41" s="63">
        <v>3000</v>
      </c>
      <c r="H41" s="63">
        <v>3000</v>
      </c>
    </row>
    <row r="42" spans="1:8" x14ac:dyDescent="0.25">
      <c r="A42" s="75" t="s">
        <v>63</v>
      </c>
      <c r="B42" s="75" t="s">
        <v>49</v>
      </c>
      <c r="C42" s="63">
        <v>1873</v>
      </c>
      <c r="D42" s="63">
        <v>3000</v>
      </c>
      <c r="E42" s="63">
        <v>3000</v>
      </c>
      <c r="F42" s="63">
        <v>2036.88</v>
      </c>
      <c r="G42" s="63">
        <v>3000</v>
      </c>
      <c r="H42" s="63">
        <v>3000</v>
      </c>
    </row>
    <row r="43" spans="1:8" x14ac:dyDescent="0.25">
      <c r="A43" s="75" t="s">
        <v>64</v>
      </c>
      <c r="B43" s="75" t="s">
        <v>49</v>
      </c>
      <c r="C43" s="63" t="s">
        <v>0</v>
      </c>
      <c r="D43" s="63" t="s">
        <v>0</v>
      </c>
      <c r="E43" s="63" t="s">
        <v>0</v>
      </c>
      <c r="F43" s="63">
        <v>1905.63</v>
      </c>
      <c r="G43" s="63">
        <v>0</v>
      </c>
      <c r="H43" s="63">
        <v>0</v>
      </c>
    </row>
    <row r="44" spans="1:8" x14ac:dyDescent="0.25">
      <c r="A44" s="75" t="s">
        <v>65</v>
      </c>
      <c r="B44" s="75" t="s">
        <v>49</v>
      </c>
      <c r="C44" s="63">
        <v>18228</v>
      </c>
      <c r="D44" s="63">
        <v>35000</v>
      </c>
      <c r="E44" s="63">
        <v>35000</v>
      </c>
      <c r="F44" s="63">
        <v>33612.5</v>
      </c>
      <c r="G44" s="63">
        <v>35000</v>
      </c>
      <c r="H44" s="63">
        <v>35000</v>
      </c>
    </row>
    <row r="45" spans="1:8" x14ac:dyDescent="0.25">
      <c r="A45" s="75" t="s">
        <v>66</v>
      </c>
      <c r="B45" s="75" t="s">
        <v>49</v>
      </c>
      <c r="C45" s="63">
        <v>1348</v>
      </c>
      <c r="D45" s="63">
        <v>5000</v>
      </c>
      <c r="E45" s="63">
        <v>5000</v>
      </c>
      <c r="F45" s="63">
        <v>2605</v>
      </c>
      <c r="G45" s="63">
        <v>3000</v>
      </c>
      <c r="H45" s="63">
        <v>3000</v>
      </c>
    </row>
    <row r="46" spans="1:8" x14ac:dyDescent="0.25">
      <c r="A46" s="75" t="s">
        <v>67</v>
      </c>
      <c r="B46" s="75" t="s">
        <v>49</v>
      </c>
      <c r="C46" s="63" t="s">
        <v>0</v>
      </c>
      <c r="D46" s="63" t="s">
        <v>0</v>
      </c>
      <c r="E46" s="63" t="s">
        <v>0</v>
      </c>
      <c r="F46" s="63">
        <v>747.5</v>
      </c>
      <c r="G46" s="63">
        <v>0</v>
      </c>
      <c r="H46" s="63">
        <v>0</v>
      </c>
    </row>
    <row r="47" spans="1:8" x14ac:dyDescent="0.25">
      <c r="A47" s="75" t="s">
        <v>68</v>
      </c>
      <c r="B47" s="75" t="s">
        <v>49</v>
      </c>
      <c r="C47" s="63">
        <v>553</v>
      </c>
      <c r="D47" s="63" t="s">
        <v>0</v>
      </c>
      <c r="E47" s="63" t="s">
        <v>0</v>
      </c>
      <c r="F47" s="63" t="s">
        <v>0</v>
      </c>
      <c r="G47" s="63">
        <v>0</v>
      </c>
      <c r="H47" s="63">
        <v>0</v>
      </c>
    </row>
    <row r="48" spans="1:8" x14ac:dyDescent="0.25">
      <c r="A48" s="75" t="s">
        <v>69</v>
      </c>
      <c r="B48" s="75" t="s">
        <v>49</v>
      </c>
      <c r="C48" s="63" t="s">
        <v>0</v>
      </c>
      <c r="D48" s="63" t="s">
        <v>0</v>
      </c>
      <c r="E48" s="63" t="s">
        <v>0</v>
      </c>
      <c r="F48" s="63">
        <v>600</v>
      </c>
      <c r="G48" s="63">
        <v>0</v>
      </c>
      <c r="H48" s="63">
        <v>0</v>
      </c>
    </row>
    <row r="49" spans="1:14" x14ac:dyDescent="0.25">
      <c r="A49" s="75" t="s">
        <v>70</v>
      </c>
      <c r="B49" s="75" t="s">
        <v>49</v>
      </c>
      <c r="C49" s="63" t="s">
        <v>0</v>
      </c>
      <c r="D49" s="63">
        <v>14000</v>
      </c>
      <c r="E49" s="63">
        <v>14000</v>
      </c>
      <c r="F49" s="63" t="s">
        <v>0</v>
      </c>
      <c r="G49" s="63">
        <v>0</v>
      </c>
      <c r="H49" s="63">
        <v>0</v>
      </c>
    </row>
    <row r="50" spans="1:14" x14ac:dyDescent="0.25">
      <c r="A50" s="61" t="s">
        <v>71</v>
      </c>
      <c r="B50" s="61" t="s">
        <v>72</v>
      </c>
      <c r="C50" s="62">
        <v>2039088</v>
      </c>
      <c r="D50" s="62">
        <v>2362524</v>
      </c>
      <c r="E50" s="62">
        <v>2046524</v>
      </c>
      <c r="F50" s="62">
        <v>1822874.15</v>
      </c>
      <c r="G50" s="63">
        <f>38725+1824255.5+29529.5+55800</f>
        <v>1948310</v>
      </c>
      <c r="H50" s="77">
        <v>2005085.3</v>
      </c>
      <c r="M50" s="78" t="s">
        <v>1555</v>
      </c>
      <c r="N50" s="50">
        <v>55800</v>
      </c>
    </row>
    <row r="51" spans="1:14" x14ac:dyDescent="0.25">
      <c r="A51" s="61" t="s">
        <v>73</v>
      </c>
      <c r="B51" s="61" t="s">
        <v>72</v>
      </c>
      <c r="C51" s="62">
        <v>600</v>
      </c>
      <c r="D51" s="62" t="s">
        <v>0</v>
      </c>
      <c r="E51" s="62" t="s">
        <v>0</v>
      </c>
      <c r="F51" s="62">
        <v>458.37</v>
      </c>
      <c r="G51" s="63">
        <v>500</v>
      </c>
      <c r="H51" s="63">
        <v>500</v>
      </c>
      <c r="I51" s="1" t="s">
        <v>1557</v>
      </c>
    </row>
    <row r="52" spans="1:14" x14ac:dyDescent="0.25">
      <c r="A52" s="61" t="s">
        <v>74</v>
      </c>
      <c r="B52" s="61" t="s">
        <v>72</v>
      </c>
      <c r="C52" s="62">
        <v>401687</v>
      </c>
      <c r="D52" s="62">
        <v>303932</v>
      </c>
      <c r="E52" s="62">
        <v>303932</v>
      </c>
      <c r="F52" s="62">
        <v>293511.83</v>
      </c>
      <c r="G52" s="63">
        <f>263648.07+3000</f>
        <v>266648.07</v>
      </c>
      <c r="H52" s="77">
        <v>274557.51</v>
      </c>
      <c r="M52" s="78" t="s">
        <v>1555</v>
      </c>
      <c r="N52" s="50">
        <v>3000</v>
      </c>
    </row>
    <row r="53" spans="1:14" x14ac:dyDescent="0.25">
      <c r="A53" s="61" t="s">
        <v>75</v>
      </c>
      <c r="B53" s="61" t="s">
        <v>72</v>
      </c>
      <c r="C53" s="62">
        <v>94123</v>
      </c>
      <c r="D53" s="62">
        <v>119728</v>
      </c>
      <c r="E53" s="62">
        <v>119728</v>
      </c>
      <c r="F53" s="62">
        <v>123114.26</v>
      </c>
      <c r="G53" s="63">
        <f>21566.98+11198.25+40975</f>
        <v>73740.23</v>
      </c>
      <c r="H53" s="77">
        <f t="shared" ref="H53:H85" si="0">G53+(G53*3%)</f>
        <v>75952.436900000001</v>
      </c>
    </row>
    <row r="54" spans="1:14" x14ac:dyDescent="0.25">
      <c r="A54" s="61" t="s">
        <v>76</v>
      </c>
      <c r="B54" s="61" t="s">
        <v>72</v>
      </c>
      <c r="C54" s="62">
        <v>37597</v>
      </c>
      <c r="D54" s="62">
        <v>37003</v>
      </c>
      <c r="E54" s="62">
        <v>37003</v>
      </c>
      <c r="F54" s="64">
        <v>-197.88</v>
      </c>
      <c r="G54" s="63">
        <v>0</v>
      </c>
      <c r="H54" s="77">
        <f t="shared" si="0"/>
        <v>0</v>
      </c>
    </row>
    <row r="55" spans="1:14" x14ac:dyDescent="0.25">
      <c r="A55" s="61" t="s">
        <v>77</v>
      </c>
      <c r="B55" s="61" t="s">
        <v>72</v>
      </c>
      <c r="C55" s="62">
        <v>946</v>
      </c>
      <c r="D55" s="62">
        <v>1000</v>
      </c>
      <c r="E55" s="62">
        <v>1000</v>
      </c>
      <c r="F55" s="62">
        <v>916.63</v>
      </c>
      <c r="G55" s="63">
        <v>1000</v>
      </c>
      <c r="H55" s="77">
        <f>G55</f>
        <v>1000</v>
      </c>
      <c r="I55" s="1" t="s">
        <v>1557</v>
      </c>
    </row>
    <row r="56" spans="1:14" x14ac:dyDescent="0.25">
      <c r="A56" s="61" t="s">
        <v>78</v>
      </c>
      <c r="B56" s="61" t="s">
        <v>72</v>
      </c>
      <c r="C56" s="62">
        <v>106554</v>
      </c>
      <c r="D56" s="62">
        <v>101972</v>
      </c>
      <c r="E56" s="62">
        <v>101972</v>
      </c>
      <c r="F56" s="62">
        <v>88832.85</v>
      </c>
      <c r="G56" s="63">
        <f>51653</f>
        <v>51653</v>
      </c>
      <c r="H56" s="77">
        <f t="shared" si="0"/>
        <v>53202.59</v>
      </c>
    </row>
    <row r="57" spans="1:14" x14ac:dyDescent="0.25">
      <c r="A57" s="61" t="s">
        <v>79</v>
      </c>
      <c r="B57" s="61" t="s">
        <v>72</v>
      </c>
      <c r="C57" s="62">
        <v>1647116</v>
      </c>
      <c r="D57" s="62">
        <v>1922959</v>
      </c>
      <c r="E57" s="62">
        <v>1922959</v>
      </c>
      <c r="F57" s="62">
        <v>1381997.76</v>
      </c>
      <c r="G57" s="63">
        <f>42675+150565+1238162+22447.25+24000</f>
        <v>1477849.25</v>
      </c>
      <c r="H57" s="77">
        <f>1497464.73+24000</f>
        <v>1521464.73</v>
      </c>
      <c r="M57" s="78" t="s">
        <v>1555</v>
      </c>
      <c r="N57" s="50">
        <v>24000</v>
      </c>
    </row>
    <row r="58" spans="1:14" x14ac:dyDescent="0.25">
      <c r="A58" s="61" t="s">
        <v>80</v>
      </c>
      <c r="B58" s="61" t="s">
        <v>72</v>
      </c>
      <c r="C58" s="62">
        <v>471</v>
      </c>
      <c r="D58" s="62">
        <v>500</v>
      </c>
      <c r="E58" s="62">
        <v>500</v>
      </c>
      <c r="F58" s="62" t="s">
        <v>0</v>
      </c>
      <c r="G58" s="63">
        <v>0</v>
      </c>
      <c r="H58" s="77">
        <f t="shared" si="0"/>
        <v>0</v>
      </c>
    </row>
    <row r="59" spans="1:14" x14ac:dyDescent="0.25">
      <c r="A59" s="61" t="s">
        <v>81</v>
      </c>
      <c r="B59" s="61" t="s">
        <v>72</v>
      </c>
      <c r="C59" s="62">
        <v>168899</v>
      </c>
      <c r="D59" s="62">
        <v>108808</v>
      </c>
      <c r="E59" s="62">
        <v>108808</v>
      </c>
      <c r="F59" s="62">
        <v>112693.54</v>
      </c>
      <c r="G59" s="63">
        <f>21566.98+67341.75+52399+44205+2000</f>
        <v>187512.72999999998</v>
      </c>
      <c r="H59" s="77">
        <f>191076.11+2000</f>
        <v>193076.11</v>
      </c>
      <c r="M59" s="78" t="s">
        <v>1556</v>
      </c>
      <c r="N59" s="50">
        <v>2000</v>
      </c>
    </row>
    <row r="60" spans="1:14" x14ac:dyDescent="0.25">
      <c r="A60" s="61" t="s">
        <v>82</v>
      </c>
      <c r="B60" s="61" t="s">
        <v>72</v>
      </c>
      <c r="C60" s="62">
        <v>26044</v>
      </c>
      <c r="D60" s="62">
        <v>13285</v>
      </c>
      <c r="E60" s="62">
        <v>13285</v>
      </c>
      <c r="F60" s="62" t="s">
        <v>0</v>
      </c>
      <c r="G60" s="63">
        <v>0</v>
      </c>
      <c r="H60" s="77">
        <f t="shared" si="0"/>
        <v>0</v>
      </c>
    </row>
    <row r="61" spans="1:14" x14ac:dyDescent="0.25">
      <c r="A61" s="61" t="s">
        <v>83</v>
      </c>
      <c r="B61" s="61" t="s">
        <v>72</v>
      </c>
      <c r="C61" s="62">
        <v>1016</v>
      </c>
      <c r="D61" s="62">
        <v>1000</v>
      </c>
      <c r="E61" s="62">
        <v>1000</v>
      </c>
      <c r="F61" s="62">
        <v>687.5</v>
      </c>
      <c r="G61" s="63">
        <v>0</v>
      </c>
      <c r="H61" s="77">
        <f t="shared" si="0"/>
        <v>0</v>
      </c>
    </row>
    <row r="62" spans="1:14" x14ac:dyDescent="0.25">
      <c r="A62" s="61" t="s">
        <v>84</v>
      </c>
      <c r="B62" s="61" t="s">
        <v>72</v>
      </c>
      <c r="C62" s="62">
        <v>545886</v>
      </c>
      <c r="D62" s="62">
        <v>42675</v>
      </c>
      <c r="E62" s="62">
        <v>42675</v>
      </c>
      <c r="F62" s="64">
        <v>-265.23</v>
      </c>
      <c r="G62" s="63">
        <v>0</v>
      </c>
      <c r="H62" s="77">
        <f t="shared" si="0"/>
        <v>0</v>
      </c>
    </row>
    <row r="63" spans="1:14" x14ac:dyDescent="0.25">
      <c r="A63" s="61" t="s">
        <v>85</v>
      </c>
      <c r="B63" s="61" t="s">
        <v>72</v>
      </c>
      <c r="C63" s="62">
        <v>148533</v>
      </c>
      <c r="D63" s="62">
        <v>21370</v>
      </c>
      <c r="E63" s="62">
        <v>21370</v>
      </c>
      <c r="F63" s="62">
        <v>363.08</v>
      </c>
      <c r="G63" s="63">
        <v>0</v>
      </c>
      <c r="H63" s="77">
        <v>1000</v>
      </c>
    </row>
    <row r="64" spans="1:14" x14ac:dyDescent="0.25">
      <c r="A64" s="61" t="s">
        <v>86</v>
      </c>
      <c r="B64" s="61" t="s">
        <v>72</v>
      </c>
      <c r="C64" s="62">
        <v>37512</v>
      </c>
      <c r="D64" s="62">
        <v>5000</v>
      </c>
      <c r="E64" s="62">
        <v>5000</v>
      </c>
      <c r="F64" s="62" t="s">
        <v>0</v>
      </c>
      <c r="G64" s="63">
        <v>0</v>
      </c>
      <c r="H64" s="77">
        <f t="shared" si="0"/>
        <v>0</v>
      </c>
    </row>
    <row r="65" spans="1:14" x14ac:dyDescent="0.25">
      <c r="A65" s="61" t="s">
        <v>87</v>
      </c>
      <c r="B65" s="61" t="s">
        <v>72</v>
      </c>
      <c r="C65" s="62">
        <v>320281</v>
      </c>
      <c r="D65" s="62" t="s">
        <v>0</v>
      </c>
      <c r="E65" s="62" t="s">
        <v>0</v>
      </c>
      <c r="F65" s="64">
        <v>-125.48</v>
      </c>
      <c r="G65" s="63">
        <v>0</v>
      </c>
      <c r="H65" s="77">
        <f t="shared" si="0"/>
        <v>0</v>
      </c>
    </row>
    <row r="66" spans="1:14" x14ac:dyDescent="0.25">
      <c r="A66" s="61" t="s">
        <v>88</v>
      </c>
      <c r="B66" s="61" t="s">
        <v>72</v>
      </c>
      <c r="C66" s="62">
        <v>1984200</v>
      </c>
      <c r="D66" s="62">
        <v>2549522</v>
      </c>
      <c r="E66" s="62">
        <v>2549522</v>
      </c>
      <c r="F66" s="62">
        <v>1990182.35</v>
      </c>
      <c r="G66" s="63">
        <f>2074401.1+3600</f>
        <v>2078001.1</v>
      </c>
      <c r="H66" s="77">
        <v>2140233.13</v>
      </c>
      <c r="M66" s="78" t="s">
        <v>1555</v>
      </c>
      <c r="N66" s="50">
        <v>3600</v>
      </c>
    </row>
    <row r="67" spans="1:14" x14ac:dyDescent="0.25">
      <c r="A67" s="61" t="s">
        <v>89</v>
      </c>
      <c r="B67" s="61" t="s">
        <v>72</v>
      </c>
      <c r="C67" s="62">
        <v>1340</v>
      </c>
      <c r="D67" s="62">
        <v>1250</v>
      </c>
      <c r="E67" s="62">
        <v>1250</v>
      </c>
      <c r="F67" s="62">
        <v>1145.76</v>
      </c>
      <c r="G67" s="63">
        <v>1000</v>
      </c>
      <c r="H67" s="77">
        <v>1000</v>
      </c>
      <c r="I67" s="1" t="s">
        <v>1559</v>
      </c>
    </row>
    <row r="68" spans="1:14" x14ac:dyDescent="0.25">
      <c r="A68" s="61" t="s">
        <v>90</v>
      </c>
      <c r="B68" s="61" t="s">
        <v>72</v>
      </c>
      <c r="C68" s="62">
        <v>236167</v>
      </c>
      <c r="D68" s="62">
        <v>344496</v>
      </c>
      <c r="E68" s="62">
        <v>344496</v>
      </c>
      <c r="F68" s="62">
        <v>307407.7</v>
      </c>
      <c r="G68" s="63">
        <f>54210.56+44048.8+40775+56159+40575+50319+3000</f>
        <v>289087.35999999999</v>
      </c>
      <c r="H68" s="77">
        <v>297669.98</v>
      </c>
      <c r="M68" s="78" t="s">
        <v>1555</v>
      </c>
      <c r="N68" s="50">
        <v>3000</v>
      </c>
    </row>
    <row r="69" spans="1:14" x14ac:dyDescent="0.25">
      <c r="A69" s="61" t="s">
        <v>91</v>
      </c>
      <c r="B69" s="61" t="s">
        <v>72</v>
      </c>
      <c r="C69" s="62">
        <v>172069</v>
      </c>
      <c r="D69" s="62">
        <v>203015</v>
      </c>
      <c r="E69" s="62">
        <v>203015</v>
      </c>
      <c r="F69" s="62">
        <v>224761.78</v>
      </c>
      <c r="G69" s="63">
        <f>31593.75+51749+55647+42675+18000</f>
        <v>199664.75</v>
      </c>
      <c r="H69" s="77">
        <f>187114.69+18000</f>
        <v>205114.69</v>
      </c>
      <c r="M69" s="78" t="s">
        <v>1555</v>
      </c>
      <c r="N69" s="50">
        <v>18000</v>
      </c>
    </row>
    <row r="70" spans="1:14" x14ac:dyDescent="0.25">
      <c r="A70" s="61" t="s">
        <v>92</v>
      </c>
      <c r="B70" s="61" t="s">
        <v>72</v>
      </c>
      <c r="C70" s="62" t="s">
        <v>0</v>
      </c>
      <c r="D70" s="62" t="s">
        <v>0</v>
      </c>
      <c r="E70" s="62" t="s">
        <v>0</v>
      </c>
      <c r="F70" s="62">
        <v>95856.97</v>
      </c>
      <c r="G70" s="63">
        <f>10531.25+46929+47111</f>
        <v>104571.25</v>
      </c>
      <c r="H70" s="77">
        <f t="shared" si="0"/>
        <v>107708.3875</v>
      </c>
    </row>
    <row r="71" spans="1:14" x14ac:dyDescent="0.25">
      <c r="A71" s="61" t="s">
        <v>93</v>
      </c>
      <c r="B71" s="61" t="s">
        <v>72</v>
      </c>
      <c r="C71" s="62">
        <v>1168489</v>
      </c>
      <c r="D71" s="62">
        <v>1311298</v>
      </c>
      <c r="E71" s="62">
        <v>1311298</v>
      </c>
      <c r="F71" s="62">
        <v>853309.11</v>
      </c>
      <c r="G71" s="63">
        <f>940552.5+44205+2250</f>
        <v>987007.5</v>
      </c>
      <c r="H71" s="77">
        <f>1014300.23+2250</f>
        <v>1016550.23</v>
      </c>
      <c r="M71" s="78" t="s">
        <v>1555</v>
      </c>
      <c r="N71" s="50">
        <v>2250</v>
      </c>
    </row>
    <row r="72" spans="1:14" x14ac:dyDescent="0.25">
      <c r="A72" s="61" t="s">
        <v>94</v>
      </c>
      <c r="B72" s="61" t="s">
        <v>72</v>
      </c>
      <c r="C72" s="62">
        <v>1218</v>
      </c>
      <c r="D72" s="62">
        <v>500</v>
      </c>
      <c r="E72" s="62">
        <v>500</v>
      </c>
      <c r="F72" s="62">
        <v>916.52</v>
      </c>
      <c r="G72" s="63">
        <v>750</v>
      </c>
      <c r="H72" s="63">
        <v>750</v>
      </c>
      <c r="I72" s="1" t="s">
        <v>1557</v>
      </c>
    </row>
    <row r="73" spans="1:14" x14ac:dyDescent="0.25">
      <c r="A73" s="61" t="s">
        <v>95</v>
      </c>
      <c r="B73" s="61" t="s">
        <v>72</v>
      </c>
      <c r="C73" s="62">
        <v>129286</v>
      </c>
      <c r="D73" s="62">
        <v>132895</v>
      </c>
      <c r="E73" s="62">
        <v>132895</v>
      </c>
      <c r="F73" s="62">
        <v>174275.5</v>
      </c>
      <c r="G73" s="63">
        <f>21573.45+48729+43325+42925</f>
        <v>156552.45000000001</v>
      </c>
      <c r="H73" s="77">
        <f t="shared" si="0"/>
        <v>161249.02350000001</v>
      </c>
    </row>
    <row r="74" spans="1:14" x14ac:dyDescent="0.25">
      <c r="A74" s="61" t="s">
        <v>96</v>
      </c>
      <c r="B74" s="61" t="s">
        <v>72</v>
      </c>
      <c r="C74" s="62">
        <v>7406</v>
      </c>
      <c r="D74" s="62">
        <v>2500</v>
      </c>
      <c r="E74" s="62">
        <v>2500</v>
      </c>
      <c r="F74" s="62">
        <v>48212.27</v>
      </c>
      <c r="G74" s="63">
        <f>3250+750</f>
        <v>4000</v>
      </c>
      <c r="H74" s="63">
        <v>3250</v>
      </c>
      <c r="I74" s="1" t="s">
        <v>1557</v>
      </c>
    </row>
    <row r="75" spans="1:14" x14ac:dyDescent="0.25">
      <c r="A75" s="61" t="s">
        <v>97</v>
      </c>
      <c r="B75" s="61" t="s">
        <v>72</v>
      </c>
      <c r="C75" s="62" t="s">
        <v>0</v>
      </c>
      <c r="D75" s="62" t="s">
        <v>0</v>
      </c>
      <c r="E75" s="62" t="s">
        <v>0</v>
      </c>
      <c r="F75" s="62">
        <v>62292.31</v>
      </c>
      <c r="G75" s="63">
        <f>47459</f>
        <v>47459</v>
      </c>
      <c r="H75" s="77">
        <f t="shared" si="0"/>
        <v>48882.77</v>
      </c>
    </row>
    <row r="76" spans="1:14" x14ac:dyDescent="0.25">
      <c r="A76" s="61" t="s">
        <v>98</v>
      </c>
      <c r="B76" s="61" t="s">
        <v>1276</v>
      </c>
      <c r="C76" s="62">
        <v>15296</v>
      </c>
      <c r="D76" s="62">
        <v>35000</v>
      </c>
      <c r="E76" s="62">
        <v>35000</v>
      </c>
      <c r="F76" s="62">
        <v>22864.98</v>
      </c>
      <c r="G76" s="63">
        <v>25000</v>
      </c>
      <c r="H76" s="77">
        <f t="shared" si="0"/>
        <v>25750</v>
      </c>
    </row>
    <row r="77" spans="1:14" x14ac:dyDescent="0.25">
      <c r="A77" s="61" t="s">
        <v>99</v>
      </c>
      <c r="B77" s="61" t="s">
        <v>1276</v>
      </c>
      <c r="C77" s="62">
        <v>5733</v>
      </c>
      <c r="D77" s="62">
        <v>2500</v>
      </c>
      <c r="E77" s="62">
        <v>2500</v>
      </c>
      <c r="F77" s="62">
        <v>386.22</v>
      </c>
      <c r="G77" s="63">
        <v>0</v>
      </c>
      <c r="H77" s="77">
        <f t="shared" si="0"/>
        <v>0</v>
      </c>
    </row>
    <row r="78" spans="1:14" x14ac:dyDescent="0.25">
      <c r="A78" s="61" t="s">
        <v>100</v>
      </c>
      <c r="B78" s="61" t="s">
        <v>1277</v>
      </c>
      <c r="C78" s="62">
        <v>981</v>
      </c>
      <c r="D78" s="62">
        <v>7500</v>
      </c>
      <c r="E78" s="62">
        <v>7500</v>
      </c>
      <c r="F78" s="62" t="s">
        <v>0</v>
      </c>
      <c r="G78" s="63">
        <v>0</v>
      </c>
      <c r="H78" s="77">
        <f t="shared" si="0"/>
        <v>0</v>
      </c>
    </row>
    <row r="79" spans="1:14" x14ac:dyDescent="0.25">
      <c r="A79" s="61" t="s">
        <v>101</v>
      </c>
      <c r="B79" s="61" t="s">
        <v>1275</v>
      </c>
      <c r="C79" s="62">
        <v>1838</v>
      </c>
      <c r="D79" s="62">
        <v>3000</v>
      </c>
      <c r="E79" s="62">
        <v>3000</v>
      </c>
      <c r="F79" s="62">
        <v>5100</v>
      </c>
      <c r="G79" s="63">
        <v>5000</v>
      </c>
      <c r="H79" s="77">
        <f t="shared" si="0"/>
        <v>5150</v>
      </c>
    </row>
    <row r="80" spans="1:14" x14ac:dyDescent="0.25">
      <c r="A80" s="61" t="s">
        <v>102</v>
      </c>
      <c r="B80" s="61" t="s">
        <v>1275</v>
      </c>
      <c r="C80" s="62" t="s">
        <v>0</v>
      </c>
      <c r="D80" s="62">
        <v>500</v>
      </c>
      <c r="E80" s="62">
        <v>500</v>
      </c>
      <c r="F80" s="62" t="s">
        <v>0</v>
      </c>
      <c r="G80" s="63">
        <v>0</v>
      </c>
      <c r="H80" s="77">
        <f t="shared" si="0"/>
        <v>0</v>
      </c>
    </row>
    <row r="81" spans="1:8" x14ac:dyDescent="0.25">
      <c r="A81" s="61" t="s">
        <v>103</v>
      </c>
      <c r="B81" s="61" t="s">
        <v>1275</v>
      </c>
      <c r="C81" s="62" t="s">
        <v>0</v>
      </c>
      <c r="D81" s="62">
        <v>500</v>
      </c>
      <c r="E81" s="62">
        <v>500</v>
      </c>
      <c r="F81" s="62" t="s">
        <v>0</v>
      </c>
      <c r="G81" s="63">
        <v>0</v>
      </c>
      <c r="H81" s="77">
        <f t="shared" si="0"/>
        <v>0</v>
      </c>
    </row>
    <row r="82" spans="1:8" x14ac:dyDescent="0.25">
      <c r="A82" s="61" t="s">
        <v>104</v>
      </c>
      <c r="B82" s="61" t="s">
        <v>1275</v>
      </c>
      <c r="C82" s="62" t="s">
        <v>0</v>
      </c>
      <c r="D82" s="62">
        <v>500</v>
      </c>
      <c r="E82" s="62">
        <v>500</v>
      </c>
      <c r="F82" s="62" t="s">
        <v>0</v>
      </c>
      <c r="G82" s="63">
        <v>0</v>
      </c>
      <c r="H82" s="77">
        <f t="shared" si="0"/>
        <v>0</v>
      </c>
    </row>
    <row r="83" spans="1:8" x14ac:dyDescent="0.25">
      <c r="A83" s="61" t="s">
        <v>105</v>
      </c>
      <c r="B83" s="61" t="s">
        <v>1275</v>
      </c>
      <c r="C83" s="62" t="s">
        <v>0</v>
      </c>
      <c r="D83" s="62">
        <v>500</v>
      </c>
      <c r="E83" s="62">
        <v>500</v>
      </c>
      <c r="F83" s="62" t="s">
        <v>0</v>
      </c>
      <c r="G83" s="63">
        <v>0</v>
      </c>
      <c r="H83" s="77">
        <f t="shared" si="0"/>
        <v>0</v>
      </c>
    </row>
    <row r="84" spans="1:8" x14ac:dyDescent="0.25">
      <c r="A84" s="61" t="s">
        <v>106</v>
      </c>
      <c r="B84" s="61" t="s">
        <v>1278</v>
      </c>
      <c r="C84" s="62">
        <v>3275</v>
      </c>
      <c r="D84" s="62">
        <v>1450</v>
      </c>
      <c r="E84" s="62">
        <v>1450</v>
      </c>
      <c r="F84" s="62">
        <v>3487.5</v>
      </c>
      <c r="G84" s="63">
        <v>3500</v>
      </c>
      <c r="H84" s="77">
        <f t="shared" si="0"/>
        <v>3605</v>
      </c>
    </row>
    <row r="85" spans="1:8" x14ac:dyDescent="0.25">
      <c r="A85" s="61" t="s">
        <v>107</v>
      </c>
      <c r="B85" s="61" t="s">
        <v>1278</v>
      </c>
      <c r="C85" s="62" t="s">
        <v>0</v>
      </c>
      <c r="D85" s="62">
        <v>1000</v>
      </c>
      <c r="E85" s="62">
        <v>1000</v>
      </c>
      <c r="F85" s="62" t="s">
        <v>0</v>
      </c>
      <c r="G85" s="63">
        <v>0</v>
      </c>
      <c r="H85" s="77">
        <f t="shared" si="0"/>
        <v>0</v>
      </c>
    </row>
    <row r="86" spans="1:8" x14ac:dyDescent="0.25">
      <c r="A86" s="75" t="s">
        <v>108</v>
      </c>
      <c r="B86" s="75" t="s">
        <v>109</v>
      </c>
      <c r="C86" s="63">
        <v>105</v>
      </c>
      <c r="D86" s="63">
        <v>1000</v>
      </c>
      <c r="E86" s="63">
        <v>1000</v>
      </c>
      <c r="F86" s="63">
        <v>143.80000000000001</v>
      </c>
      <c r="G86" s="63">
        <v>500</v>
      </c>
      <c r="H86" s="63">
        <v>500</v>
      </c>
    </row>
    <row r="87" spans="1:8" x14ac:dyDescent="0.25">
      <c r="A87" s="75" t="s">
        <v>110</v>
      </c>
      <c r="B87" s="75" t="s">
        <v>109</v>
      </c>
      <c r="C87" s="63">
        <v>54</v>
      </c>
      <c r="D87" s="63" t="s">
        <v>0</v>
      </c>
      <c r="E87" s="63" t="s">
        <v>0</v>
      </c>
      <c r="F87" s="63">
        <v>486.93</v>
      </c>
      <c r="G87" s="63">
        <v>0</v>
      </c>
      <c r="H87" s="63">
        <v>0</v>
      </c>
    </row>
    <row r="88" spans="1:8" x14ac:dyDescent="0.25">
      <c r="A88" s="75" t="s">
        <v>111</v>
      </c>
      <c r="B88" s="75" t="s">
        <v>109</v>
      </c>
      <c r="C88" s="63">
        <v>507</v>
      </c>
      <c r="D88" s="63">
        <v>1000</v>
      </c>
      <c r="E88" s="63">
        <v>1000</v>
      </c>
      <c r="F88" s="63">
        <v>4507.59</v>
      </c>
      <c r="G88" s="63">
        <v>1000</v>
      </c>
      <c r="H88" s="63">
        <v>1000</v>
      </c>
    </row>
    <row r="89" spans="1:8" x14ac:dyDescent="0.25">
      <c r="A89" s="75" t="s">
        <v>112</v>
      </c>
      <c r="B89" s="75" t="s">
        <v>109</v>
      </c>
      <c r="C89" s="63">
        <v>756</v>
      </c>
      <c r="D89" s="63" t="s">
        <v>0</v>
      </c>
      <c r="E89" s="63" t="s">
        <v>0</v>
      </c>
      <c r="F89" s="63">
        <v>2396.2800000000002</v>
      </c>
      <c r="G89" s="63">
        <v>0</v>
      </c>
      <c r="H89" s="63">
        <v>0</v>
      </c>
    </row>
    <row r="90" spans="1:8" x14ac:dyDescent="0.25">
      <c r="A90" s="75" t="s">
        <v>113</v>
      </c>
      <c r="B90" s="75" t="s">
        <v>109</v>
      </c>
      <c r="C90" s="63">
        <v>230</v>
      </c>
      <c r="D90" s="63">
        <v>1000</v>
      </c>
      <c r="E90" s="63">
        <v>1000</v>
      </c>
      <c r="F90" s="63">
        <v>431.98</v>
      </c>
      <c r="G90" s="63">
        <v>0</v>
      </c>
      <c r="H90" s="63">
        <v>0</v>
      </c>
    </row>
    <row r="91" spans="1:8" x14ac:dyDescent="0.25">
      <c r="A91" s="75" t="s">
        <v>114</v>
      </c>
      <c r="B91" s="75" t="s">
        <v>109</v>
      </c>
      <c r="C91" s="63">
        <v>1346</v>
      </c>
      <c r="D91" s="63" t="s">
        <v>0</v>
      </c>
      <c r="E91" s="63" t="s">
        <v>0</v>
      </c>
      <c r="F91" s="63">
        <v>61.56</v>
      </c>
      <c r="G91" s="63">
        <v>0</v>
      </c>
      <c r="H91" s="63">
        <v>0</v>
      </c>
    </row>
    <row r="92" spans="1:8" x14ac:dyDescent="0.25">
      <c r="A92" s="75" t="s">
        <v>115</v>
      </c>
      <c r="B92" s="75" t="s">
        <v>109</v>
      </c>
      <c r="C92" s="63">
        <v>2</v>
      </c>
      <c r="D92" s="63" t="s">
        <v>0</v>
      </c>
      <c r="E92" s="76">
        <v>-3.73</v>
      </c>
      <c r="F92" s="63">
        <v>3.73</v>
      </c>
      <c r="G92" s="63">
        <v>0</v>
      </c>
      <c r="H92" s="63">
        <v>0</v>
      </c>
    </row>
    <row r="93" spans="1:8" x14ac:dyDescent="0.25">
      <c r="A93" s="75" t="s">
        <v>116</v>
      </c>
      <c r="B93" s="75" t="s">
        <v>109</v>
      </c>
      <c r="C93" s="63">
        <v>2799</v>
      </c>
      <c r="D93" s="63" t="s">
        <v>0</v>
      </c>
      <c r="E93" s="63" t="s">
        <v>0</v>
      </c>
      <c r="F93" s="63">
        <v>7.43</v>
      </c>
      <c r="G93" s="63">
        <v>0</v>
      </c>
      <c r="H93" s="63">
        <v>0</v>
      </c>
    </row>
    <row r="94" spans="1:8" x14ac:dyDescent="0.25">
      <c r="A94" s="75" t="s">
        <v>117</v>
      </c>
      <c r="B94" s="75" t="s">
        <v>109</v>
      </c>
      <c r="C94" s="63">
        <v>260</v>
      </c>
      <c r="D94" s="63">
        <v>1000</v>
      </c>
      <c r="E94" s="63">
        <v>1000</v>
      </c>
      <c r="F94" s="63">
        <v>464.83</v>
      </c>
      <c r="G94" s="63">
        <v>500</v>
      </c>
      <c r="H94" s="63">
        <v>500</v>
      </c>
    </row>
    <row r="95" spans="1:8" x14ac:dyDescent="0.25">
      <c r="A95" s="75" t="s">
        <v>118</v>
      </c>
      <c r="B95" s="75" t="s">
        <v>109</v>
      </c>
      <c r="C95" s="63">
        <v>82</v>
      </c>
      <c r="D95" s="63" t="s">
        <v>0</v>
      </c>
      <c r="E95" s="63" t="s">
        <v>0</v>
      </c>
      <c r="F95" s="63">
        <v>2635.54</v>
      </c>
      <c r="G95" s="63">
        <v>0</v>
      </c>
      <c r="H95" s="63">
        <v>0</v>
      </c>
    </row>
    <row r="96" spans="1:8" x14ac:dyDescent="0.25">
      <c r="A96" s="75" t="s">
        <v>119</v>
      </c>
      <c r="B96" s="75" t="s">
        <v>109</v>
      </c>
      <c r="C96" s="63">
        <v>26</v>
      </c>
      <c r="D96" s="63" t="s">
        <v>0</v>
      </c>
      <c r="E96" s="63" t="s">
        <v>0</v>
      </c>
      <c r="F96" s="63">
        <v>61.74</v>
      </c>
      <c r="G96" s="63">
        <v>0</v>
      </c>
      <c r="H96" s="63">
        <v>0</v>
      </c>
    </row>
    <row r="97" spans="1:8" x14ac:dyDescent="0.25">
      <c r="A97" s="75" t="s">
        <v>120</v>
      </c>
      <c r="B97" s="75" t="s">
        <v>109</v>
      </c>
      <c r="C97" s="63">
        <v>127</v>
      </c>
      <c r="D97" s="63">
        <v>1000</v>
      </c>
      <c r="E97" s="63">
        <v>1000</v>
      </c>
      <c r="F97" s="63">
        <v>152.44</v>
      </c>
      <c r="G97" s="63">
        <v>500</v>
      </c>
      <c r="H97" s="63">
        <v>500</v>
      </c>
    </row>
    <row r="98" spans="1:8" x14ac:dyDescent="0.25">
      <c r="A98" s="75" t="s">
        <v>121</v>
      </c>
      <c r="B98" s="75" t="s">
        <v>109</v>
      </c>
      <c r="C98" s="63">
        <v>14</v>
      </c>
      <c r="D98" s="63" t="s">
        <v>0</v>
      </c>
      <c r="E98" s="63" t="s">
        <v>0</v>
      </c>
      <c r="F98" s="63">
        <v>136.03</v>
      </c>
      <c r="G98" s="63">
        <v>0</v>
      </c>
      <c r="H98" s="63">
        <v>0</v>
      </c>
    </row>
    <row r="99" spans="1:8" x14ac:dyDescent="0.25">
      <c r="A99" s="75" t="s">
        <v>122</v>
      </c>
      <c r="B99" s="75" t="s">
        <v>109</v>
      </c>
      <c r="C99" s="63">
        <v>5</v>
      </c>
      <c r="D99" s="63" t="s">
        <v>0</v>
      </c>
      <c r="E99" s="63" t="s">
        <v>0</v>
      </c>
      <c r="F99" s="63">
        <v>170.55</v>
      </c>
      <c r="G99" s="63">
        <v>0</v>
      </c>
      <c r="H99" s="63">
        <v>0</v>
      </c>
    </row>
    <row r="100" spans="1:8" x14ac:dyDescent="0.25">
      <c r="A100" s="75" t="s">
        <v>123</v>
      </c>
      <c r="B100" s="75" t="s">
        <v>1279</v>
      </c>
      <c r="C100" s="63" t="s">
        <v>0</v>
      </c>
      <c r="D100" s="63">
        <v>4000</v>
      </c>
      <c r="E100" s="63">
        <v>4000</v>
      </c>
      <c r="F100" s="63" t="s">
        <v>0</v>
      </c>
      <c r="G100" s="63">
        <v>0</v>
      </c>
      <c r="H100" s="63">
        <v>0</v>
      </c>
    </row>
    <row r="101" spans="1:8" x14ac:dyDescent="0.25">
      <c r="A101" s="75" t="s">
        <v>124</v>
      </c>
      <c r="B101" s="75" t="s">
        <v>1279</v>
      </c>
      <c r="C101" s="63" t="s">
        <v>0</v>
      </c>
      <c r="D101" s="63">
        <v>1000</v>
      </c>
      <c r="E101" s="63">
        <v>1000</v>
      </c>
      <c r="F101" s="63" t="s">
        <v>0</v>
      </c>
      <c r="G101" s="63">
        <v>0</v>
      </c>
      <c r="H101" s="63">
        <v>0</v>
      </c>
    </row>
    <row r="102" spans="1:8" x14ac:dyDescent="0.25">
      <c r="A102" s="75" t="s">
        <v>125</v>
      </c>
      <c r="B102" s="75" t="s">
        <v>126</v>
      </c>
      <c r="C102" s="63">
        <v>7055</v>
      </c>
      <c r="D102" s="63">
        <v>10000</v>
      </c>
      <c r="E102" s="63">
        <v>10000</v>
      </c>
      <c r="F102" s="63">
        <v>2850</v>
      </c>
      <c r="G102" s="63">
        <v>5000</v>
      </c>
      <c r="H102" s="63">
        <v>5000</v>
      </c>
    </row>
    <row r="103" spans="1:8" x14ac:dyDescent="0.25">
      <c r="A103" s="75" t="s">
        <v>127</v>
      </c>
      <c r="B103" s="75" t="s">
        <v>126</v>
      </c>
      <c r="C103" s="63">
        <v>480</v>
      </c>
      <c r="D103" s="63">
        <v>8000</v>
      </c>
      <c r="E103" s="63">
        <v>8000</v>
      </c>
      <c r="F103" s="63">
        <v>2675</v>
      </c>
      <c r="G103" s="63">
        <v>3000</v>
      </c>
      <c r="H103" s="63">
        <v>3000</v>
      </c>
    </row>
    <row r="104" spans="1:8" x14ac:dyDescent="0.25">
      <c r="A104" s="75" t="s">
        <v>128</v>
      </c>
      <c r="B104" s="75" t="s">
        <v>126</v>
      </c>
      <c r="C104" s="63" t="s">
        <v>0</v>
      </c>
      <c r="D104" s="63" t="s">
        <v>0</v>
      </c>
      <c r="E104" s="63" t="s">
        <v>0</v>
      </c>
      <c r="F104" s="63">
        <v>165</v>
      </c>
      <c r="G104" s="63">
        <v>0</v>
      </c>
      <c r="H104" s="63">
        <v>0</v>
      </c>
    </row>
    <row r="105" spans="1:8" x14ac:dyDescent="0.25">
      <c r="A105" s="75" t="s">
        <v>129</v>
      </c>
      <c r="B105" s="75" t="s">
        <v>126</v>
      </c>
      <c r="C105" s="63">
        <v>5130</v>
      </c>
      <c r="D105" s="63">
        <v>1000</v>
      </c>
      <c r="E105" s="63">
        <v>1000</v>
      </c>
      <c r="F105" s="63">
        <v>180</v>
      </c>
      <c r="G105" s="63">
        <v>0</v>
      </c>
      <c r="H105" s="63">
        <v>0</v>
      </c>
    </row>
    <row r="106" spans="1:8" x14ac:dyDescent="0.25">
      <c r="A106" s="75" t="s">
        <v>130</v>
      </c>
      <c r="B106" s="75" t="s">
        <v>126</v>
      </c>
      <c r="C106" s="63">
        <v>510</v>
      </c>
      <c r="D106" s="63">
        <v>1000</v>
      </c>
      <c r="E106" s="63">
        <v>1000</v>
      </c>
      <c r="F106" s="63" t="s">
        <v>0</v>
      </c>
      <c r="G106" s="63">
        <v>0</v>
      </c>
      <c r="H106" s="63">
        <v>0</v>
      </c>
    </row>
    <row r="107" spans="1:8" x14ac:dyDescent="0.25">
      <c r="A107" s="75" t="s">
        <v>131</v>
      </c>
      <c r="B107" s="75" t="s">
        <v>126</v>
      </c>
      <c r="C107" s="63">
        <v>1860</v>
      </c>
      <c r="D107" s="63">
        <v>5000</v>
      </c>
      <c r="E107" s="63">
        <v>5000</v>
      </c>
      <c r="F107" s="63" t="s">
        <v>0</v>
      </c>
      <c r="G107" s="63">
        <v>0</v>
      </c>
      <c r="H107" s="63">
        <v>0</v>
      </c>
    </row>
    <row r="108" spans="1:8" x14ac:dyDescent="0.25">
      <c r="A108" s="75" t="s">
        <v>132</v>
      </c>
      <c r="B108" s="75" t="s">
        <v>126</v>
      </c>
      <c r="C108" s="63">
        <v>1770</v>
      </c>
      <c r="D108" s="63">
        <v>1000</v>
      </c>
      <c r="E108" s="63">
        <v>1000</v>
      </c>
      <c r="F108" s="63">
        <v>8400</v>
      </c>
      <c r="G108" s="63">
        <v>1000</v>
      </c>
      <c r="H108" s="63">
        <v>1000</v>
      </c>
    </row>
    <row r="109" spans="1:8" x14ac:dyDescent="0.25">
      <c r="A109" s="75" t="s">
        <v>133</v>
      </c>
      <c r="B109" s="75" t="s">
        <v>126</v>
      </c>
      <c r="C109" s="63">
        <v>1110</v>
      </c>
      <c r="D109" s="63">
        <v>1000</v>
      </c>
      <c r="E109" s="63">
        <v>1000</v>
      </c>
      <c r="F109" s="63">
        <v>1290</v>
      </c>
      <c r="G109" s="63">
        <v>1000</v>
      </c>
      <c r="H109" s="63">
        <v>1000</v>
      </c>
    </row>
    <row r="110" spans="1:8" x14ac:dyDescent="0.25">
      <c r="A110" s="75" t="s">
        <v>134</v>
      </c>
      <c r="B110" s="75" t="s">
        <v>126</v>
      </c>
      <c r="C110" s="63" t="s">
        <v>0</v>
      </c>
      <c r="D110" s="63">
        <v>3000</v>
      </c>
      <c r="E110" s="63">
        <v>3000</v>
      </c>
      <c r="F110" s="63">
        <v>60</v>
      </c>
      <c r="G110" s="63">
        <v>0</v>
      </c>
      <c r="H110" s="63">
        <v>0</v>
      </c>
    </row>
    <row r="111" spans="1:8" x14ac:dyDescent="0.25">
      <c r="A111" s="75" t="s">
        <v>135</v>
      </c>
      <c r="B111" s="75" t="s">
        <v>126</v>
      </c>
      <c r="C111" s="63" t="s">
        <v>0</v>
      </c>
      <c r="D111" s="63" t="s">
        <v>0</v>
      </c>
      <c r="E111" s="63" t="s">
        <v>0</v>
      </c>
      <c r="F111" s="63">
        <v>1080</v>
      </c>
      <c r="G111" s="63">
        <v>0</v>
      </c>
      <c r="H111" s="63">
        <v>0</v>
      </c>
    </row>
    <row r="112" spans="1:8" x14ac:dyDescent="0.25">
      <c r="A112" s="75" t="s">
        <v>136</v>
      </c>
      <c r="B112" s="75" t="s">
        <v>126</v>
      </c>
      <c r="C112" s="63">
        <v>1050</v>
      </c>
      <c r="D112" s="63">
        <v>1000</v>
      </c>
      <c r="E112" s="63">
        <v>1000</v>
      </c>
      <c r="F112" s="63">
        <v>3765</v>
      </c>
      <c r="G112" s="63">
        <v>1000</v>
      </c>
      <c r="H112" s="63">
        <v>1000</v>
      </c>
    </row>
    <row r="113" spans="1:8" x14ac:dyDescent="0.25">
      <c r="A113" s="75" t="s">
        <v>137</v>
      </c>
      <c r="B113" s="75" t="s">
        <v>126</v>
      </c>
      <c r="C113" s="63">
        <v>390</v>
      </c>
      <c r="D113" s="63">
        <v>1000</v>
      </c>
      <c r="E113" s="63">
        <v>1000</v>
      </c>
      <c r="F113" s="63">
        <v>840</v>
      </c>
      <c r="G113" s="63">
        <v>1000</v>
      </c>
      <c r="H113" s="63">
        <v>1000</v>
      </c>
    </row>
    <row r="114" spans="1:8" x14ac:dyDescent="0.25">
      <c r="A114" s="75" t="s">
        <v>138</v>
      </c>
      <c r="B114" s="75" t="s">
        <v>126</v>
      </c>
      <c r="C114" s="63">
        <v>450</v>
      </c>
      <c r="D114" s="63">
        <v>3000</v>
      </c>
      <c r="E114" s="63">
        <v>3000</v>
      </c>
      <c r="F114" s="63">
        <v>270</v>
      </c>
      <c r="G114" s="63">
        <v>1000</v>
      </c>
      <c r="H114" s="63">
        <v>1000</v>
      </c>
    </row>
    <row r="115" spans="1:8" x14ac:dyDescent="0.25">
      <c r="A115" s="75" t="s">
        <v>139</v>
      </c>
      <c r="B115" s="75" t="s">
        <v>126</v>
      </c>
      <c r="C115" s="63">
        <v>120</v>
      </c>
      <c r="D115" s="63" t="s">
        <v>0</v>
      </c>
      <c r="E115" s="63" t="s">
        <v>0</v>
      </c>
      <c r="F115" s="63" t="s">
        <v>0</v>
      </c>
      <c r="G115" s="63">
        <v>0</v>
      </c>
      <c r="H115" s="63">
        <v>0</v>
      </c>
    </row>
    <row r="116" spans="1:8" x14ac:dyDescent="0.25">
      <c r="A116" s="61" t="s">
        <v>140</v>
      </c>
      <c r="B116" s="61" t="s">
        <v>141</v>
      </c>
      <c r="C116" s="62">
        <v>21869</v>
      </c>
      <c r="D116" s="62">
        <v>13988</v>
      </c>
      <c r="E116" s="62">
        <v>13988</v>
      </c>
      <c r="F116" s="62">
        <v>13865.31</v>
      </c>
      <c r="G116" s="63">
        <f>15184.4</f>
        <v>15184.4</v>
      </c>
      <c r="H116" s="77">
        <f>G116+(G116*3%)</f>
        <v>15639.931999999999</v>
      </c>
    </row>
    <row r="117" spans="1:8" x14ac:dyDescent="0.25">
      <c r="A117" s="61" t="s">
        <v>142</v>
      </c>
      <c r="B117" s="61" t="s">
        <v>141</v>
      </c>
      <c r="C117" s="62">
        <v>33837</v>
      </c>
      <c r="D117" s="62">
        <v>31072</v>
      </c>
      <c r="E117" s="62">
        <v>31072</v>
      </c>
      <c r="F117" s="62">
        <v>42688.66</v>
      </c>
      <c r="G117" s="63">
        <f>15184+15887.52</f>
        <v>31071.52</v>
      </c>
      <c r="H117" s="77">
        <f t="shared" ref="H117:H133" si="1">G117+(G117*3%)</f>
        <v>32003.6656</v>
      </c>
    </row>
    <row r="118" spans="1:8" x14ac:dyDescent="0.25">
      <c r="A118" s="61" t="s">
        <v>143</v>
      </c>
      <c r="B118" s="61" t="s">
        <v>141</v>
      </c>
      <c r="C118" s="62">
        <v>60799</v>
      </c>
      <c r="D118" s="62">
        <v>112380</v>
      </c>
      <c r="E118" s="62">
        <v>112380</v>
      </c>
      <c r="F118" s="62">
        <v>115994.54</v>
      </c>
      <c r="G118" s="63">
        <f>60908.65+15962.32+20450.56+15887.52</f>
        <v>113209.05</v>
      </c>
      <c r="H118" s="77">
        <f t="shared" si="1"/>
        <v>116605.32150000001</v>
      </c>
    </row>
    <row r="119" spans="1:8" x14ac:dyDescent="0.25">
      <c r="A119" s="61" t="s">
        <v>144</v>
      </c>
      <c r="B119" s="61" t="s">
        <v>141</v>
      </c>
      <c r="C119" s="62">
        <v>39425</v>
      </c>
      <c r="D119" s="62">
        <v>66632</v>
      </c>
      <c r="E119" s="62">
        <v>66632</v>
      </c>
      <c r="F119" s="62">
        <v>63609.919999999998</v>
      </c>
      <c r="G119" s="63">
        <f>15184.4+17189.04+19074+15184.4</f>
        <v>66631.839999999997</v>
      </c>
      <c r="H119" s="77">
        <f t="shared" si="1"/>
        <v>68630.795199999993</v>
      </c>
    </row>
    <row r="120" spans="1:8" x14ac:dyDescent="0.25">
      <c r="A120" s="61" t="s">
        <v>145</v>
      </c>
      <c r="B120" s="61" t="s">
        <v>141</v>
      </c>
      <c r="C120" s="62">
        <v>142486</v>
      </c>
      <c r="D120" s="62">
        <v>13913</v>
      </c>
      <c r="E120" s="62">
        <v>13913</v>
      </c>
      <c r="F120" s="64">
        <v>-276.33</v>
      </c>
      <c r="G120" s="63">
        <v>0</v>
      </c>
      <c r="H120" s="77">
        <f t="shared" si="1"/>
        <v>0</v>
      </c>
    </row>
    <row r="121" spans="1:8" x14ac:dyDescent="0.25">
      <c r="A121" s="61" t="s">
        <v>146</v>
      </c>
      <c r="B121" s="61" t="s">
        <v>141</v>
      </c>
      <c r="C121" s="62">
        <v>27714</v>
      </c>
      <c r="D121" s="62">
        <v>18894</v>
      </c>
      <c r="E121" s="62">
        <v>18894</v>
      </c>
      <c r="F121" s="64">
        <v>-22.8</v>
      </c>
      <c r="G121" s="63">
        <v>0</v>
      </c>
      <c r="H121" s="77">
        <f t="shared" si="1"/>
        <v>0</v>
      </c>
    </row>
    <row r="122" spans="1:8" x14ac:dyDescent="0.25">
      <c r="A122" s="61" t="s">
        <v>147</v>
      </c>
      <c r="B122" s="61" t="s">
        <v>141</v>
      </c>
      <c r="C122" s="62" t="s">
        <v>0</v>
      </c>
      <c r="D122" s="62" t="s">
        <v>0</v>
      </c>
      <c r="E122" s="62" t="s">
        <v>0</v>
      </c>
      <c r="F122" s="64">
        <v>-64.680000000000007</v>
      </c>
      <c r="G122" s="63">
        <v>0</v>
      </c>
      <c r="H122" s="77">
        <f t="shared" si="1"/>
        <v>0</v>
      </c>
    </row>
    <row r="123" spans="1:8" x14ac:dyDescent="0.25">
      <c r="A123" s="61" t="s">
        <v>148</v>
      </c>
      <c r="B123" s="61" t="s">
        <v>141</v>
      </c>
      <c r="C123" s="62">
        <v>74096</v>
      </c>
      <c r="D123" s="62">
        <v>15573</v>
      </c>
      <c r="E123" s="62">
        <v>14332.64</v>
      </c>
      <c r="F123" s="64">
        <v>-4.95</v>
      </c>
      <c r="G123" s="63">
        <v>0</v>
      </c>
      <c r="H123" s="77">
        <f t="shared" si="1"/>
        <v>0</v>
      </c>
    </row>
    <row r="124" spans="1:8" x14ac:dyDescent="0.25">
      <c r="A124" s="61" t="s">
        <v>149</v>
      </c>
      <c r="B124" s="61" t="s">
        <v>141</v>
      </c>
      <c r="C124" s="62">
        <v>127176</v>
      </c>
      <c r="D124" s="62">
        <v>308678</v>
      </c>
      <c r="E124" s="62">
        <v>309922.09000000003</v>
      </c>
      <c r="F124" s="62">
        <v>234136.61</v>
      </c>
      <c r="G124" s="63">
        <f>222265.52</f>
        <v>222265.52</v>
      </c>
      <c r="H124" s="77">
        <f t="shared" si="1"/>
        <v>228933.48559999999</v>
      </c>
    </row>
    <row r="125" spans="1:8" x14ac:dyDescent="0.25">
      <c r="A125" s="61" t="s">
        <v>150</v>
      </c>
      <c r="B125" s="61" t="s">
        <v>141</v>
      </c>
      <c r="C125" s="62">
        <v>35064</v>
      </c>
      <c r="D125" s="62">
        <v>48470</v>
      </c>
      <c r="E125" s="62">
        <v>48470</v>
      </c>
      <c r="F125" s="62">
        <v>63157.599999999999</v>
      </c>
      <c r="G125" s="63">
        <f>67230.24</f>
        <v>67230.240000000005</v>
      </c>
      <c r="H125" s="77">
        <f t="shared" si="1"/>
        <v>69247.147200000007</v>
      </c>
    </row>
    <row r="126" spans="1:8" x14ac:dyDescent="0.25">
      <c r="A126" s="61" t="s">
        <v>151</v>
      </c>
      <c r="B126" s="61" t="s">
        <v>141</v>
      </c>
      <c r="C126" s="62">
        <v>917</v>
      </c>
      <c r="D126" s="62" t="s">
        <v>0</v>
      </c>
      <c r="E126" s="62" t="s">
        <v>0</v>
      </c>
      <c r="F126" s="62" t="s">
        <v>0</v>
      </c>
      <c r="G126" s="63">
        <v>0</v>
      </c>
      <c r="H126" s="77">
        <f t="shared" si="1"/>
        <v>0</v>
      </c>
    </row>
    <row r="127" spans="1:8" x14ac:dyDescent="0.25">
      <c r="A127" s="61" t="s">
        <v>152</v>
      </c>
      <c r="B127" s="61" t="s">
        <v>141</v>
      </c>
      <c r="C127" s="62" t="s">
        <v>0</v>
      </c>
      <c r="D127" s="62" t="s">
        <v>0</v>
      </c>
      <c r="E127" s="62" t="s">
        <v>0</v>
      </c>
      <c r="F127" s="62">
        <v>39905.800000000003</v>
      </c>
      <c r="G127" s="63">
        <f>43533.6</f>
        <v>43533.599999999999</v>
      </c>
      <c r="H127" s="77">
        <f t="shared" si="1"/>
        <v>44839.608</v>
      </c>
    </row>
    <row r="128" spans="1:8" x14ac:dyDescent="0.25">
      <c r="A128" s="61" t="s">
        <v>153</v>
      </c>
      <c r="B128" s="61" t="s">
        <v>141</v>
      </c>
      <c r="C128" s="62">
        <v>55032</v>
      </c>
      <c r="D128" s="62">
        <v>99328</v>
      </c>
      <c r="E128" s="62">
        <v>99328</v>
      </c>
      <c r="F128" s="62">
        <v>42628.75</v>
      </c>
      <c r="G128" s="63">
        <f>15184+15214.32+15639.48</f>
        <v>46037.8</v>
      </c>
      <c r="H128" s="77">
        <f t="shared" si="1"/>
        <v>47418.934000000001</v>
      </c>
    </row>
    <row r="129" spans="1:8" x14ac:dyDescent="0.25">
      <c r="A129" s="61" t="s">
        <v>154</v>
      </c>
      <c r="B129" s="61" t="s">
        <v>141</v>
      </c>
      <c r="C129" s="62">
        <v>32600</v>
      </c>
      <c r="D129" s="62">
        <v>46002</v>
      </c>
      <c r="E129" s="62">
        <v>46002</v>
      </c>
      <c r="F129" s="62">
        <v>28197.41</v>
      </c>
      <c r="G129" s="63">
        <f>15184.4+15633.2</f>
        <v>30817.599999999999</v>
      </c>
      <c r="H129" s="77">
        <f t="shared" si="1"/>
        <v>31742.127999999997</v>
      </c>
    </row>
    <row r="130" spans="1:8" x14ac:dyDescent="0.25">
      <c r="A130" s="61" t="s">
        <v>155</v>
      </c>
      <c r="B130" s="61" t="s">
        <v>141</v>
      </c>
      <c r="C130" s="62" t="s">
        <v>0</v>
      </c>
      <c r="D130" s="62" t="s">
        <v>0</v>
      </c>
      <c r="E130" s="62" t="s">
        <v>0</v>
      </c>
      <c r="F130" s="62">
        <v>15770.4</v>
      </c>
      <c r="G130" s="63">
        <f>17682.72+18294.4</f>
        <v>35977.120000000003</v>
      </c>
      <c r="H130" s="77">
        <f t="shared" si="1"/>
        <v>37056.433600000004</v>
      </c>
    </row>
    <row r="131" spans="1:8" x14ac:dyDescent="0.25">
      <c r="A131" s="61" t="s">
        <v>156</v>
      </c>
      <c r="B131" s="61" t="s">
        <v>1280</v>
      </c>
      <c r="C131" s="62">
        <v>785</v>
      </c>
      <c r="D131" s="62" t="s">
        <v>0</v>
      </c>
      <c r="E131" s="62" t="s">
        <v>0</v>
      </c>
      <c r="F131" s="62">
        <v>263.72000000000003</v>
      </c>
      <c r="G131" s="63">
        <v>0</v>
      </c>
      <c r="H131" s="77">
        <f t="shared" si="1"/>
        <v>0</v>
      </c>
    </row>
    <row r="132" spans="1:8" x14ac:dyDescent="0.25">
      <c r="A132" s="61" t="s">
        <v>157</v>
      </c>
      <c r="B132" s="61" t="s">
        <v>1280</v>
      </c>
      <c r="C132" s="62">
        <v>400</v>
      </c>
      <c r="D132" s="62" t="s">
        <v>0</v>
      </c>
      <c r="E132" s="62" t="s">
        <v>0</v>
      </c>
      <c r="F132" s="62" t="s">
        <v>0</v>
      </c>
      <c r="G132" s="63">
        <v>0</v>
      </c>
      <c r="H132" s="77">
        <f t="shared" si="1"/>
        <v>0</v>
      </c>
    </row>
    <row r="133" spans="1:8" x14ac:dyDescent="0.25">
      <c r="A133" s="61" t="s">
        <v>158</v>
      </c>
      <c r="B133" s="61" t="s">
        <v>1281</v>
      </c>
      <c r="C133" s="62">
        <v>650</v>
      </c>
      <c r="D133" s="62" t="s">
        <v>0</v>
      </c>
      <c r="E133" s="62" t="s">
        <v>0</v>
      </c>
      <c r="F133" s="62" t="s">
        <v>0</v>
      </c>
      <c r="G133" s="63">
        <v>0</v>
      </c>
      <c r="H133" s="77">
        <f t="shared" si="1"/>
        <v>0</v>
      </c>
    </row>
    <row r="134" spans="1:8" x14ac:dyDescent="0.25">
      <c r="A134" s="61" t="s">
        <v>159</v>
      </c>
      <c r="B134" s="61" t="s">
        <v>160</v>
      </c>
      <c r="C134" s="62">
        <v>180</v>
      </c>
      <c r="D134" s="62" t="s">
        <v>0</v>
      </c>
      <c r="E134" s="62" t="s">
        <v>0</v>
      </c>
      <c r="F134" s="62" t="s">
        <v>0</v>
      </c>
      <c r="G134" s="63">
        <v>0</v>
      </c>
      <c r="H134" s="63">
        <v>0</v>
      </c>
    </row>
    <row r="135" spans="1:8" x14ac:dyDescent="0.25">
      <c r="A135" s="61" t="s">
        <v>161</v>
      </c>
      <c r="B135" s="61" t="s">
        <v>162</v>
      </c>
      <c r="C135" s="62">
        <v>178</v>
      </c>
      <c r="D135" s="62">
        <v>862</v>
      </c>
      <c r="E135" s="62">
        <v>862</v>
      </c>
      <c r="F135" s="62" t="s">
        <v>0</v>
      </c>
      <c r="G135" s="63">
        <v>0</v>
      </c>
      <c r="H135" s="63">
        <v>0</v>
      </c>
    </row>
    <row r="136" spans="1:8" x14ac:dyDescent="0.25">
      <c r="A136" s="61" t="s">
        <v>163</v>
      </c>
      <c r="B136" s="61" t="s">
        <v>162</v>
      </c>
      <c r="C136" s="62">
        <v>203</v>
      </c>
      <c r="D136" s="62">
        <v>200</v>
      </c>
      <c r="E136" s="62">
        <v>200</v>
      </c>
      <c r="F136" s="62" t="s">
        <v>0</v>
      </c>
      <c r="G136" s="63">
        <v>0</v>
      </c>
      <c r="H136" s="63">
        <v>0</v>
      </c>
    </row>
    <row r="137" spans="1:8" x14ac:dyDescent="0.25">
      <c r="A137" s="61" t="s">
        <v>164</v>
      </c>
      <c r="B137" s="61" t="s">
        <v>162</v>
      </c>
      <c r="C137" s="62">
        <v>940</v>
      </c>
      <c r="D137" s="62">
        <v>925</v>
      </c>
      <c r="E137" s="62">
        <v>925</v>
      </c>
      <c r="F137" s="62" t="s">
        <v>0</v>
      </c>
      <c r="G137" s="63">
        <v>0</v>
      </c>
      <c r="H137" s="63">
        <v>0</v>
      </c>
    </row>
    <row r="138" spans="1:8" x14ac:dyDescent="0.25">
      <c r="A138" s="61" t="s">
        <v>165</v>
      </c>
      <c r="B138" s="61" t="s">
        <v>162</v>
      </c>
      <c r="C138" s="62">
        <v>356</v>
      </c>
      <c r="D138" s="62">
        <v>350</v>
      </c>
      <c r="E138" s="62">
        <v>350</v>
      </c>
      <c r="F138" s="62" t="s">
        <v>0</v>
      </c>
      <c r="G138" s="63">
        <v>0</v>
      </c>
      <c r="H138" s="63">
        <v>0</v>
      </c>
    </row>
    <row r="139" spans="1:8" x14ac:dyDescent="0.25">
      <c r="A139" s="61" t="s">
        <v>166</v>
      </c>
      <c r="B139" s="61" t="s">
        <v>162</v>
      </c>
      <c r="C139" s="62">
        <v>356</v>
      </c>
      <c r="D139" s="62">
        <v>350</v>
      </c>
      <c r="E139" s="62">
        <v>350</v>
      </c>
      <c r="F139" s="62" t="s">
        <v>0</v>
      </c>
      <c r="G139" s="63">
        <v>0</v>
      </c>
      <c r="H139" s="63">
        <v>0</v>
      </c>
    </row>
    <row r="140" spans="1:8" x14ac:dyDescent="0.25">
      <c r="A140" s="61" t="s">
        <v>167</v>
      </c>
      <c r="B140" s="61" t="s">
        <v>162</v>
      </c>
      <c r="C140" s="62">
        <v>2032</v>
      </c>
      <c r="D140" s="62">
        <v>2000</v>
      </c>
      <c r="E140" s="62">
        <v>2000</v>
      </c>
      <c r="F140" s="62" t="s">
        <v>0</v>
      </c>
      <c r="G140" s="63">
        <v>0</v>
      </c>
      <c r="H140" s="63">
        <v>0</v>
      </c>
    </row>
    <row r="141" spans="1:8" x14ac:dyDescent="0.25">
      <c r="A141" s="61" t="s">
        <v>168</v>
      </c>
      <c r="B141" s="61" t="s">
        <v>169</v>
      </c>
      <c r="C141" s="62">
        <v>1016</v>
      </c>
      <c r="D141" s="62">
        <v>2000</v>
      </c>
      <c r="E141" s="62">
        <v>2000</v>
      </c>
      <c r="F141" s="62" t="s">
        <v>0</v>
      </c>
      <c r="G141" s="63">
        <v>0</v>
      </c>
      <c r="H141" s="63">
        <v>0</v>
      </c>
    </row>
    <row r="142" spans="1:8" x14ac:dyDescent="0.25">
      <c r="A142" s="61" t="s">
        <v>170</v>
      </c>
      <c r="B142" s="61" t="s">
        <v>169</v>
      </c>
      <c r="C142" s="62">
        <v>1016</v>
      </c>
      <c r="D142" s="62" t="s">
        <v>0</v>
      </c>
      <c r="E142" s="62" t="s">
        <v>0</v>
      </c>
      <c r="F142" s="62" t="s">
        <v>0</v>
      </c>
      <c r="G142" s="63">
        <v>0</v>
      </c>
      <c r="H142" s="63">
        <v>0</v>
      </c>
    </row>
    <row r="143" spans="1:8" x14ac:dyDescent="0.25">
      <c r="A143" s="61" t="s">
        <v>171</v>
      </c>
      <c r="B143" s="61" t="s">
        <v>172</v>
      </c>
      <c r="C143" s="62">
        <v>28107</v>
      </c>
      <c r="D143" s="62">
        <v>29682</v>
      </c>
      <c r="E143" s="62">
        <v>29682</v>
      </c>
      <c r="F143" s="62">
        <v>25237.69</v>
      </c>
      <c r="G143" s="63">
        <f>(G28+G50+G86+G100+G102+G116)*1.45%</f>
        <v>29782.918799999996</v>
      </c>
      <c r="H143" s="63">
        <f>(H28+H50+H86+H100+H102+H116)*1.45%</f>
        <v>30612.765863999997</v>
      </c>
    </row>
    <row r="144" spans="1:8" x14ac:dyDescent="0.25">
      <c r="A144" s="61" t="s">
        <v>173</v>
      </c>
      <c r="B144" s="61" t="s">
        <v>172</v>
      </c>
      <c r="C144" s="62">
        <v>9</v>
      </c>
      <c r="D144" s="62">
        <v>22</v>
      </c>
      <c r="E144" s="62">
        <v>22</v>
      </c>
      <c r="F144" s="62">
        <v>5.84</v>
      </c>
      <c r="G144" s="63">
        <f>G51*1.45%</f>
        <v>7.2499999999999991</v>
      </c>
      <c r="H144" s="63">
        <f>H51*1.45%</f>
        <v>7.2499999999999991</v>
      </c>
    </row>
    <row r="145" spans="1:8" x14ac:dyDescent="0.25">
      <c r="A145" s="61" t="s">
        <v>174</v>
      </c>
      <c r="B145" s="61" t="s">
        <v>172</v>
      </c>
      <c r="C145" s="62">
        <v>5321</v>
      </c>
      <c r="D145" s="62">
        <v>4793</v>
      </c>
      <c r="E145" s="62">
        <v>4793</v>
      </c>
      <c r="F145" s="62">
        <v>3868.86</v>
      </c>
      <c r="G145" s="63">
        <f>(G29+G52)*1.45%</f>
        <v>3873.647015</v>
      </c>
      <c r="H145" s="63">
        <f>(H29+H52)*1.45%</f>
        <v>3988.3338949999998</v>
      </c>
    </row>
    <row r="146" spans="1:8" x14ac:dyDescent="0.25">
      <c r="A146" s="61" t="s">
        <v>175</v>
      </c>
      <c r="B146" s="61" t="s">
        <v>172</v>
      </c>
      <c r="C146" s="62">
        <v>3</v>
      </c>
      <c r="D146" s="62">
        <v>3</v>
      </c>
      <c r="E146" s="62">
        <v>3</v>
      </c>
      <c r="F146" s="62" t="s">
        <v>0</v>
      </c>
      <c r="G146" s="63">
        <v>0</v>
      </c>
      <c r="H146" s="63">
        <v>0</v>
      </c>
    </row>
    <row r="147" spans="1:8" x14ac:dyDescent="0.25">
      <c r="A147" s="61" t="s">
        <v>176</v>
      </c>
      <c r="B147" s="61" t="s">
        <v>172</v>
      </c>
      <c r="C147" s="62">
        <v>1776</v>
      </c>
      <c r="D147" s="62">
        <v>1154</v>
      </c>
      <c r="E147" s="62">
        <v>1154</v>
      </c>
      <c r="F147" s="62">
        <v>2315.87</v>
      </c>
      <c r="G147" s="63">
        <f>(G30+G53+G87+G117)*1.45%</f>
        <v>1519.7703749999998</v>
      </c>
      <c r="H147" s="63">
        <f>(H30+H53+H87+H117)*1.45%</f>
        <v>1565.3634862500001</v>
      </c>
    </row>
    <row r="148" spans="1:8" x14ac:dyDescent="0.25">
      <c r="A148" s="61" t="s">
        <v>177</v>
      </c>
      <c r="B148" s="61" t="s">
        <v>172</v>
      </c>
      <c r="C148" s="62">
        <v>517</v>
      </c>
      <c r="D148" s="62">
        <v>642</v>
      </c>
      <c r="E148" s="62">
        <v>642</v>
      </c>
      <c r="F148" s="64">
        <v>-2.7</v>
      </c>
      <c r="G148" s="63">
        <f>(G31+G54)*1.45%</f>
        <v>0</v>
      </c>
      <c r="H148" s="63">
        <f>(H31+H54)*1.45%</f>
        <v>0</v>
      </c>
    </row>
    <row r="149" spans="1:8" x14ac:dyDescent="0.25">
      <c r="A149" s="61" t="s">
        <v>178</v>
      </c>
      <c r="B149" s="61" t="s">
        <v>172</v>
      </c>
      <c r="C149" s="64">
        <v>-1</v>
      </c>
      <c r="D149" s="62">
        <v>15</v>
      </c>
      <c r="E149" s="62">
        <v>15</v>
      </c>
      <c r="F149" s="62" t="s">
        <v>0</v>
      </c>
      <c r="G149" s="63">
        <f>G55*1.45%</f>
        <v>14.499999999999998</v>
      </c>
      <c r="H149" s="63">
        <f>H55*1.45%</f>
        <v>14.499999999999998</v>
      </c>
    </row>
    <row r="150" spans="1:8" x14ac:dyDescent="0.25">
      <c r="A150" s="61" t="s">
        <v>179</v>
      </c>
      <c r="B150" s="61" t="s">
        <v>172</v>
      </c>
      <c r="C150" s="62">
        <v>1479</v>
      </c>
      <c r="D150" s="62">
        <v>29</v>
      </c>
      <c r="E150" s="62">
        <v>29</v>
      </c>
      <c r="F150" s="62">
        <v>1225.68</v>
      </c>
      <c r="G150" s="63">
        <f>(G32+G56)*1.45%</f>
        <v>748.96849999999995</v>
      </c>
      <c r="H150" s="63">
        <f>(H32+H56)*1.45%</f>
        <v>771.43755499999986</v>
      </c>
    </row>
    <row r="151" spans="1:8" x14ac:dyDescent="0.25">
      <c r="A151" s="61" t="s">
        <v>180</v>
      </c>
      <c r="B151" s="61" t="s">
        <v>172</v>
      </c>
      <c r="C151" s="62" t="s">
        <v>0</v>
      </c>
      <c r="D151" s="62">
        <v>270</v>
      </c>
      <c r="E151" s="62">
        <v>270</v>
      </c>
      <c r="F151" s="62" t="s">
        <v>0</v>
      </c>
      <c r="G151" s="63">
        <v>0</v>
      </c>
      <c r="H151" s="63">
        <v>0</v>
      </c>
    </row>
    <row r="152" spans="1:8" x14ac:dyDescent="0.25">
      <c r="A152" s="61" t="s">
        <v>181</v>
      </c>
      <c r="B152" s="61" t="s">
        <v>172</v>
      </c>
      <c r="C152" s="62">
        <v>23822</v>
      </c>
      <c r="D152" s="62">
        <v>17247</v>
      </c>
      <c r="E152" s="62">
        <v>17247</v>
      </c>
      <c r="F152" s="62">
        <v>21561.74</v>
      </c>
      <c r="G152" s="63">
        <f>(G33+G57+G88+G103+G118)*1.45%</f>
        <v>23896.84535</v>
      </c>
      <c r="H152" s="63">
        <f>(H33+H57+H88+H103+H118)*1.45%</f>
        <v>24578.515746749999</v>
      </c>
    </row>
    <row r="153" spans="1:8" x14ac:dyDescent="0.25">
      <c r="A153" s="61" t="s">
        <v>182</v>
      </c>
      <c r="B153" s="61" t="s">
        <v>172</v>
      </c>
      <c r="C153" s="62">
        <v>7</v>
      </c>
      <c r="D153" s="62" t="s">
        <v>0</v>
      </c>
      <c r="E153" s="62" t="s">
        <v>0</v>
      </c>
      <c r="F153" s="62" t="s">
        <v>0</v>
      </c>
      <c r="G153" s="63">
        <f>G58*1.45%</f>
        <v>0</v>
      </c>
      <c r="H153" s="63">
        <f>H58*1.45%</f>
        <v>0</v>
      </c>
    </row>
    <row r="154" spans="1:8" x14ac:dyDescent="0.25">
      <c r="A154" s="61" t="s">
        <v>183</v>
      </c>
      <c r="B154" s="61" t="s">
        <v>172</v>
      </c>
      <c r="C154" s="62">
        <v>3</v>
      </c>
      <c r="D154" s="62">
        <v>3</v>
      </c>
      <c r="E154" s="62">
        <v>3</v>
      </c>
      <c r="F154" s="62" t="s">
        <v>0</v>
      </c>
      <c r="G154" s="63">
        <v>0</v>
      </c>
      <c r="H154" s="63">
        <v>0</v>
      </c>
    </row>
    <row r="155" spans="1:8" x14ac:dyDescent="0.25">
      <c r="A155" s="61" t="s">
        <v>184</v>
      </c>
      <c r="B155" s="61" t="s">
        <v>172</v>
      </c>
      <c r="C155" s="62">
        <v>2716</v>
      </c>
      <c r="D155" s="62">
        <v>1503</v>
      </c>
      <c r="E155" s="62">
        <v>1503</v>
      </c>
      <c r="F155" s="62">
        <v>2535.88</v>
      </c>
      <c r="G155" s="63">
        <f>(G34+G59+G89+G104+G119)*1.45%</f>
        <v>3714.0962649999992</v>
      </c>
      <c r="H155" s="63">
        <f>(H34+H59+H89+H104+H119)*1.45%</f>
        <v>3823.7501253999994</v>
      </c>
    </row>
    <row r="156" spans="1:8" x14ac:dyDescent="0.25">
      <c r="A156" s="61" t="s">
        <v>185</v>
      </c>
      <c r="B156" s="61" t="s">
        <v>172</v>
      </c>
      <c r="C156" s="62">
        <v>359</v>
      </c>
      <c r="D156" s="62">
        <v>389</v>
      </c>
      <c r="E156" s="62">
        <v>389</v>
      </c>
      <c r="F156" s="62" t="s">
        <v>0</v>
      </c>
      <c r="G156" s="63">
        <f>(G35+G60)*1.45%</f>
        <v>0</v>
      </c>
      <c r="H156" s="63">
        <f>(H35+H60)*1.45%</f>
        <v>0</v>
      </c>
    </row>
    <row r="157" spans="1:8" x14ac:dyDescent="0.25">
      <c r="A157" s="61" t="s">
        <v>186</v>
      </c>
      <c r="B157" s="61" t="s">
        <v>172</v>
      </c>
      <c r="C157" s="62">
        <v>15</v>
      </c>
      <c r="D157" s="62">
        <v>15</v>
      </c>
      <c r="E157" s="62">
        <v>15</v>
      </c>
      <c r="F157" s="62">
        <v>9.9</v>
      </c>
      <c r="G157" s="63">
        <f>G61*1.45%</f>
        <v>0</v>
      </c>
      <c r="H157" s="63">
        <f>H61*1.45%</f>
        <v>0</v>
      </c>
    </row>
    <row r="158" spans="1:8" x14ac:dyDescent="0.25">
      <c r="A158" s="61" t="s">
        <v>187</v>
      </c>
      <c r="B158" s="61" t="s">
        <v>172</v>
      </c>
      <c r="C158" s="62">
        <v>8904</v>
      </c>
      <c r="D158" s="62">
        <v>10787</v>
      </c>
      <c r="E158" s="62">
        <v>10787</v>
      </c>
      <c r="F158" s="62">
        <v>374.35</v>
      </c>
      <c r="G158" s="63">
        <v>0</v>
      </c>
      <c r="H158" s="63">
        <v>0</v>
      </c>
    </row>
    <row r="159" spans="1:8" x14ac:dyDescent="0.25">
      <c r="A159" s="61" t="s">
        <v>188</v>
      </c>
      <c r="B159" s="61" t="s">
        <v>172</v>
      </c>
      <c r="C159" s="62">
        <v>13</v>
      </c>
      <c r="D159" s="62">
        <v>13</v>
      </c>
      <c r="E159" s="62">
        <v>13</v>
      </c>
      <c r="F159" s="62" t="s">
        <v>0</v>
      </c>
      <c r="G159" s="63">
        <v>0</v>
      </c>
      <c r="H159" s="63">
        <v>0</v>
      </c>
    </row>
    <row r="160" spans="1:8" x14ac:dyDescent="0.25">
      <c r="A160" s="61" t="s">
        <v>189</v>
      </c>
      <c r="B160" s="61" t="s">
        <v>172</v>
      </c>
      <c r="C160" s="62">
        <v>2505</v>
      </c>
      <c r="D160" s="62">
        <v>1040</v>
      </c>
      <c r="E160" s="62">
        <v>1040</v>
      </c>
      <c r="F160" s="62">
        <v>4.18</v>
      </c>
      <c r="G160" s="63">
        <v>0</v>
      </c>
      <c r="H160" s="63">
        <v>0</v>
      </c>
    </row>
    <row r="161" spans="1:8" x14ac:dyDescent="0.25">
      <c r="A161" s="61" t="s">
        <v>190</v>
      </c>
      <c r="B161" s="61" t="s">
        <v>172</v>
      </c>
      <c r="C161" s="62">
        <v>505</v>
      </c>
      <c r="D161" s="62">
        <v>524</v>
      </c>
      <c r="E161" s="62">
        <v>524</v>
      </c>
      <c r="F161" s="62">
        <v>21.84</v>
      </c>
      <c r="G161" s="63">
        <v>0</v>
      </c>
      <c r="H161" s="63">
        <v>0</v>
      </c>
    </row>
    <row r="162" spans="1:8" x14ac:dyDescent="0.25">
      <c r="A162" s="61" t="s">
        <v>191</v>
      </c>
      <c r="B162" s="61" t="s">
        <v>172</v>
      </c>
      <c r="C162" s="62">
        <v>0</v>
      </c>
      <c r="D162" s="62">
        <v>1471</v>
      </c>
      <c r="E162" s="62">
        <v>1471</v>
      </c>
      <c r="F162" s="64">
        <v>-0.87</v>
      </c>
      <c r="G162" s="63">
        <v>0</v>
      </c>
      <c r="H162" s="63">
        <v>0</v>
      </c>
    </row>
    <row r="163" spans="1:8" x14ac:dyDescent="0.25">
      <c r="A163" s="61" t="s">
        <v>192</v>
      </c>
      <c r="B163" s="61" t="s">
        <v>172</v>
      </c>
      <c r="C163" s="62">
        <v>5380</v>
      </c>
      <c r="D163" s="62">
        <v>6014</v>
      </c>
      <c r="E163" s="62">
        <v>6014</v>
      </c>
      <c r="F163" s="64">
        <v>-1.78</v>
      </c>
      <c r="G163" s="63">
        <v>0</v>
      </c>
      <c r="H163" s="63">
        <v>0</v>
      </c>
    </row>
    <row r="164" spans="1:8" x14ac:dyDescent="0.25">
      <c r="A164" s="61" t="s">
        <v>193</v>
      </c>
      <c r="B164" s="61" t="s">
        <v>172</v>
      </c>
      <c r="C164" s="62">
        <v>27359</v>
      </c>
      <c r="D164" s="62">
        <v>21722</v>
      </c>
      <c r="E164" s="62">
        <v>21722</v>
      </c>
      <c r="F164" s="62">
        <v>30012.05</v>
      </c>
      <c r="G164" s="63">
        <f>(G40+G66+G93+G108+G124)*1.45%</f>
        <v>33875.865989999998</v>
      </c>
      <c r="H164" s="63">
        <f>(H40+H66+H93+H108+H124)*1.45%</f>
        <v>34874.915926199996</v>
      </c>
    </row>
    <row r="165" spans="1:8" x14ac:dyDescent="0.25">
      <c r="A165" s="61" t="s">
        <v>194</v>
      </c>
      <c r="B165" s="61" t="s">
        <v>172</v>
      </c>
      <c r="C165" s="62">
        <v>18</v>
      </c>
      <c r="D165" s="62">
        <v>4</v>
      </c>
      <c r="E165" s="62">
        <v>4</v>
      </c>
      <c r="F165" s="62">
        <v>14.92</v>
      </c>
      <c r="G165" s="63">
        <f>G67*1.45%</f>
        <v>14.499999999999998</v>
      </c>
      <c r="H165" s="63">
        <f>H67*1.45%</f>
        <v>14.499999999999998</v>
      </c>
    </row>
    <row r="166" spans="1:8" x14ac:dyDescent="0.25">
      <c r="A166" s="61" t="s">
        <v>195</v>
      </c>
      <c r="B166" s="61" t="s">
        <v>172</v>
      </c>
      <c r="C166" s="62">
        <v>5</v>
      </c>
      <c r="D166" s="62">
        <v>5</v>
      </c>
      <c r="E166" s="62">
        <v>5</v>
      </c>
      <c r="F166" s="62" t="s">
        <v>0</v>
      </c>
      <c r="G166" s="63">
        <v>0</v>
      </c>
      <c r="H166" s="63">
        <v>0</v>
      </c>
    </row>
    <row r="167" spans="1:8" x14ac:dyDescent="0.25">
      <c r="A167" s="61" t="s">
        <v>196</v>
      </c>
      <c r="B167" s="61" t="s">
        <v>172</v>
      </c>
      <c r="C167" s="62">
        <v>3714</v>
      </c>
      <c r="D167" s="62">
        <v>4023</v>
      </c>
      <c r="E167" s="62">
        <v>4023</v>
      </c>
      <c r="F167" s="62">
        <v>4967.99</v>
      </c>
      <c r="G167" s="63">
        <f>(G41+G68+G95+G109+G125)*1.45%</f>
        <v>5224.6051999999991</v>
      </c>
      <c r="H167" s="63">
        <f>(H41+H68+H95+H109+H125)*1.45%</f>
        <v>5378.2983443999992</v>
      </c>
    </row>
    <row r="168" spans="1:8" x14ac:dyDescent="0.25">
      <c r="A168" s="61" t="s">
        <v>197</v>
      </c>
      <c r="B168" s="61" t="s">
        <v>172</v>
      </c>
      <c r="C168" s="62">
        <v>2273</v>
      </c>
      <c r="D168" s="62">
        <v>60</v>
      </c>
      <c r="E168" s="62">
        <v>60</v>
      </c>
      <c r="F168" s="62">
        <v>2595.41</v>
      </c>
      <c r="G168" s="63">
        <f>(G42+G69)*1.45%</f>
        <v>2938.6388749999996</v>
      </c>
      <c r="H168" s="63">
        <f>(H42+H69)*1.45%</f>
        <v>3017.6630049999999</v>
      </c>
    </row>
    <row r="169" spans="1:8" x14ac:dyDescent="0.25">
      <c r="A169" s="61" t="s">
        <v>198</v>
      </c>
      <c r="B169" s="61" t="s">
        <v>172</v>
      </c>
      <c r="C169" s="62">
        <v>13</v>
      </c>
      <c r="D169" s="62">
        <v>286</v>
      </c>
      <c r="E169" s="62">
        <v>286</v>
      </c>
      <c r="F169" s="62">
        <v>0.87</v>
      </c>
      <c r="G169" s="63">
        <f>(G109+G126)*1.45%</f>
        <v>14.499999999999998</v>
      </c>
      <c r="H169" s="63">
        <f>(H109+H126)*1.45%</f>
        <v>14.499999999999998</v>
      </c>
    </row>
    <row r="170" spans="1:8" x14ac:dyDescent="0.25">
      <c r="A170" s="61" t="s">
        <v>199</v>
      </c>
      <c r="B170" s="61" t="s">
        <v>172</v>
      </c>
      <c r="C170" s="62" t="s">
        <v>0</v>
      </c>
      <c r="D170" s="62" t="s">
        <v>0</v>
      </c>
      <c r="E170" s="62" t="s">
        <v>0</v>
      </c>
      <c r="F170" s="62">
        <v>2459.3200000000002</v>
      </c>
      <c r="G170" s="63">
        <f>(G43+G70+G96+G111+G127)*1.45%</f>
        <v>2147.520325</v>
      </c>
      <c r="H170" s="63">
        <f>(H43+H70+H96+H111+H127)*1.45%</f>
        <v>2211.9459347499997</v>
      </c>
    </row>
    <row r="171" spans="1:8" x14ac:dyDescent="0.25">
      <c r="A171" s="61" t="s">
        <v>200</v>
      </c>
      <c r="B171" s="61" t="s">
        <v>172</v>
      </c>
      <c r="C171" s="62">
        <v>16284</v>
      </c>
      <c r="D171" s="62">
        <v>23842</v>
      </c>
      <c r="E171" s="62">
        <v>23842</v>
      </c>
      <c r="F171" s="62">
        <v>13529.62</v>
      </c>
      <c r="G171" s="63">
        <f>(G44+G71+G97+G112+G128)*1.45%</f>
        <v>15508.406849999999</v>
      </c>
      <c r="H171" s="63">
        <f>(H44+H71+H97+H112+H128)*1.45%</f>
        <v>15956.802877999997</v>
      </c>
    </row>
    <row r="172" spans="1:8" x14ac:dyDescent="0.25">
      <c r="A172" s="61" t="s">
        <v>201</v>
      </c>
      <c r="B172" s="61" t="s">
        <v>172</v>
      </c>
      <c r="C172" s="62">
        <v>13</v>
      </c>
      <c r="D172" s="62">
        <v>11</v>
      </c>
      <c r="E172" s="62">
        <v>11</v>
      </c>
      <c r="F172" s="62">
        <v>12.76</v>
      </c>
      <c r="G172" s="63">
        <f>G72*1.45%</f>
        <v>10.875</v>
      </c>
      <c r="H172" s="63">
        <f>H72*1.45%</f>
        <v>10.875</v>
      </c>
    </row>
    <row r="173" spans="1:8" x14ac:dyDescent="0.25">
      <c r="A173" s="61" t="s">
        <v>202</v>
      </c>
      <c r="B173" s="61" t="s">
        <v>172</v>
      </c>
      <c r="C173" s="62">
        <v>5</v>
      </c>
      <c r="D173" s="62">
        <v>5</v>
      </c>
      <c r="E173" s="62">
        <v>5</v>
      </c>
      <c r="F173" s="62" t="s">
        <v>0</v>
      </c>
      <c r="G173" s="63">
        <v>0</v>
      </c>
      <c r="H173" s="63">
        <v>0</v>
      </c>
    </row>
    <row r="174" spans="1:8" x14ac:dyDescent="0.25">
      <c r="A174" s="61" t="s">
        <v>203</v>
      </c>
      <c r="B174" s="61" t="s">
        <v>172</v>
      </c>
      <c r="C174" s="62">
        <v>2174</v>
      </c>
      <c r="D174" s="62">
        <v>1740</v>
      </c>
      <c r="E174" s="62">
        <v>1740</v>
      </c>
      <c r="F174" s="62">
        <v>3189.8</v>
      </c>
      <c r="G174" s="63">
        <f>(G45+G73+G98+G113+G129)*1.45%</f>
        <v>2774.8657250000001</v>
      </c>
      <c r="H174" s="63">
        <f>(H45+H73+H98+H113+H129)*1.45%</f>
        <v>2856.37169675</v>
      </c>
    </row>
    <row r="175" spans="1:8" x14ac:dyDescent="0.25">
      <c r="A175" s="61" t="s">
        <v>204</v>
      </c>
      <c r="B175" s="61" t="s">
        <v>172</v>
      </c>
      <c r="C175" s="62">
        <v>104</v>
      </c>
      <c r="D175" s="62">
        <v>87</v>
      </c>
      <c r="E175" s="62">
        <v>87</v>
      </c>
      <c r="F175" s="62">
        <v>694.75</v>
      </c>
      <c r="G175" s="63">
        <f>(G46+G74)*1.45%</f>
        <v>57.999999999999993</v>
      </c>
      <c r="H175" s="63">
        <f>(H46+H74)*1.45%</f>
        <v>47.125</v>
      </c>
    </row>
    <row r="176" spans="1:8" x14ac:dyDescent="0.25">
      <c r="A176" s="61" t="s">
        <v>205</v>
      </c>
      <c r="B176" s="61" t="s">
        <v>172</v>
      </c>
      <c r="C176" s="62">
        <v>7</v>
      </c>
      <c r="D176" s="62">
        <v>476</v>
      </c>
      <c r="E176" s="62">
        <v>476</v>
      </c>
      <c r="F176" s="62">
        <v>3.92</v>
      </c>
      <c r="G176" s="63">
        <f>G114*1.45%</f>
        <v>14.499999999999998</v>
      </c>
      <c r="H176" s="63">
        <f>H114*1.45%</f>
        <v>14.499999999999998</v>
      </c>
    </row>
    <row r="177" spans="1:8" x14ac:dyDescent="0.25">
      <c r="A177" s="61" t="s">
        <v>206</v>
      </c>
      <c r="B177" s="61" t="s">
        <v>172</v>
      </c>
      <c r="C177" s="62">
        <v>207</v>
      </c>
      <c r="D177" s="62" t="s">
        <v>0</v>
      </c>
      <c r="E177" s="62" t="s">
        <v>0</v>
      </c>
      <c r="F177" s="62">
        <v>156.87</v>
      </c>
      <c r="G177" s="63">
        <f>(G47+G115)*1.45%</f>
        <v>0</v>
      </c>
      <c r="H177" s="63">
        <f>(H47+H115)*1.45%</f>
        <v>0</v>
      </c>
    </row>
    <row r="178" spans="1:8" x14ac:dyDescent="0.25">
      <c r="A178" s="61" t="s">
        <v>207</v>
      </c>
      <c r="B178" s="61" t="s">
        <v>172</v>
      </c>
      <c r="C178" s="62" t="s">
        <v>0</v>
      </c>
      <c r="D178" s="62" t="s">
        <v>0</v>
      </c>
      <c r="E178" s="62" t="s">
        <v>0</v>
      </c>
      <c r="F178" s="62">
        <v>1081.94</v>
      </c>
      <c r="G178" s="63">
        <f>(G48+G75+G99+G130)*1.45%</f>
        <v>1209.8237399999998</v>
      </c>
      <c r="H178" s="63">
        <f>(H48+H75+H99+H130)*1.45%</f>
        <v>1246.1184522000001</v>
      </c>
    </row>
    <row r="179" spans="1:8" x14ac:dyDescent="0.25">
      <c r="A179" s="61" t="s">
        <v>208</v>
      </c>
      <c r="B179" s="61" t="s">
        <v>172</v>
      </c>
      <c r="C179" s="62" t="s">
        <v>0</v>
      </c>
      <c r="D179" s="62">
        <v>757</v>
      </c>
      <c r="E179" s="62">
        <v>757</v>
      </c>
      <c r="F179" s="62" t="s">
        <v>0</v>
      </c>
      <c r="G179" s="63">
        <f>G49*1.45%</f>
        <v>0</v>
      </c>
      <c r="H179" s="63">
        <f>H49*1.45%</f>
        <v>0</v>
      </c>
    </row>
    <row r="180" spans="1:8" x14ac:dyDescent="0.25">
      <c r="A180" s="61" t="s">
        <v>209</v>
      </c>
      <c r="B180" s="61" t="s">
        <v>1282</v>
      </c>
      <c r="C180" s="62" t="s">
        <v>0</v>
      </c>
      <c r="D180" s="62">
        <v>58</v>
      </c>
      <c r="E180" s="62">
        <v>58</v>
      </c>
      <c r="F180" s="62" t="s">
        <v>0</v>
      </c>
      <c r="G180" s="63">
        <f>G100*1.45%</f>
        <v>0</v>
      </c>
      <c r="H180" s="63">
        <f>H100*1.45%</f>
        <v>0</v>
      </c>
    </row>
    <row r="181" spans="1:8" x14ac:dyDescent="0.25">
      <c r="A181" s="61" t="s">
        <v>210</v>
      </c>
      <c r="B181" s="61" t="s">
        <v>1282</v>
      </c>
      <c r="C181" s="62" t="s">
        <v>0</v>
      </c>
      <c r="D181" s="62">
        <v>15</v>
      </c>
      <c r="E181" s="62">
        <v>15</v>
      </c>
      <c r="F181" s="62" t="s">
        <v>0</v>
      </c>
      <c r="G181" s="63">
        <f>G101*1.45%</f>
        <v>0</v>
      </c>
      <c r="H181" s="63">
        <f>H101*1.45%</f>
        <v>0</v>
      </c>
    </row>
    <row r="182" spans="1:8" x14ac:dyDescent="0.25">
      <c r="A182" s="61" t="s">
        <v>211</v>
      </c>
      <c r="B182" s="61" t="s">
        <v>1283</v>
      </c>
      <c r="C182" s="62">
        <v>190</v>
      </c>
      <c r="D182" s="62" t="s">
        <v>0</v>
      </c>
      <c r="E182" s="62" t="s">
        <v>0</v>
      </c>
      <c r="F182" s="62">
        <v>323.12</v>
      </c>
      <c r="G182" s="63">
        <f>(G76+G131)*1.45%</f>
        <v>362.5</v>
      </c>
      <c r="H182" s="63">
        <f>(H76+H131)*1.45%</f>
        <v>373.375</v>
      </c>
    </row>
    <row r="183" spans="1:8" x14ac:dyDescent="0.25">
      <c r="A183" s="61" t="s">
        <v>212</v>
      </c>
      <c r="B183" s="61" t="s">
        <v>1283</v>
      </c>
      <c r="C183" s="62">
        <v>79</v>
      </c>
      <c r="D183" s="62" t="s">
        <v>0</v>
      </c>
      <c r="E183" s="62" t="s">
        <v>0</v>
      </c>
      <c r="F183" s="62">
        <v>5.09</v>
      </c>
      <c r="G183" s="63">
        <f>(G77+G132)*1.45%</f>
        <v>0</v>
      </c>
      <c r="H183" s="63">
        <f>(H77+H132)*1.45%</f>
        <v>0</v>
      </c>
    </row>
    <row r="184" spans="1:8" x14ac:dyDescent="0.25">
      <c r="A184" s="61" t="s">
        <v>213</v>
      </c>
      <c r="B184" s="61" t="s">
        <v>1284</v>
      </c>
      <c r="C184" s="62">
        <v>13</v>
      </c>
      <c r="D184" s="62">
        <v>109</v>
      </c>
      <c r="E184" s="62">
        <v>109</v>
      </c>
      <c r="F184" s="62" t="s">
        <v>0</v>
      </c>
      <c r="G184" s="63">
        <f>G78*1.45%</f>
        <v>0</v>
      </c>
      <c r="H184" s="63">
        <f>H78*1.45%</f>
        <v>0</v>
      </c>
    </row>
    <row r="185" spans="1:8" x14ac:dyDescent="0.25">
      <c r="A185" s="61" t="s">
        <v>214</v>
      </c>
      <c r="B185" s="61" t="s">
        <v>1285</v>
      </c>
      <c r="C185" s="62">
        <v>25</v>
      </c>
      <c r="D185" s="62" t="s">
        <v>0</v>
      </c>
      <c r="E185" s="62" t="s">
        <v>0</v>
      </c>
      <c r="F185" s="62">
        <v>70.540000000000006</v>
      </c>
      <c r="G185" s="63">
        <f>(G79+G80+G82+G83)*1.45%</f>
        <v>72.5</v>
      </c>
      <c r="H185" s="63">
        <f>(H79+H80+H82+H83)*1.45%</f>
        <v>74.674999999999997</v>
      </c>
    </row>
    <row r="186" spans="1:8" x14ac:dyDescent="0.25">
      <c r="A186" s="61" t="s">
        <v>215</v>
      </c>
      <c r="B186" s="61" t="s">
        <v>172</v>
      </c>
      <c r="C186" s="62">
        <v>28</v>
      </c>
      <c r="D186" s="62">
        <v>29</v>
      </c>
      <c r="E186" s="62">
        <v>29</v>
      </c>
      <c r="F186" s="62" t="s">
        <v>0</v>
      </c>
      <c r="G186" s="63">
        <v>0</v>
      </c>
      <c r="H186" s="63">
        <v>1</v>
      </c>
    </row>
    <row r="187" spans="1:8" x14ac:dyDescent="0.25">
      <c r="A187" s="61" t="s">
        <v>216</v>
      </c>
      <c r="B187" s="61" t="s">
        <v>1286</v>
      </c>
      <c r="C187" s="62">
        <v>53</v>
      </c>
      <c r="D187" s="62" t="s">
        <v>0</v>
      </c>
      <c r="E187" s="62" t="s">
        <v>0</v>
      </c>
      <c r="F187" s="62">
        <v>46.49</v>
      </c>
      <c r="G187" s="63">
        <f>(G84+G85+G133)*1.45%</f>
        <v>50.75</v>
      </c>
      <c r="H187" s="63">
        <f>(H84+H85+H133)*1.45%</f>
        <v>52.272499999999994</v>
      </c>
    </row>
    <row r="188" spans="1:8" x14ac:dyDescent="0.25">
      <c r="A188" s="61" t="s">
        <v>217</v>
      </c>
      <c r="B188" s="61" t="s">
        <v>218</v>
      </c>
      <c r="C188" s="62">
        <v>173831</v>
      </c>
      <c r="D188" s="62">
        <v>443031</v>
      </c>
      <c r="E188" s="62">
        <v>443031</v>
      </c>
      <c r="F188" s="62">
        <v>166635.29999999999</v>
      </c>
      <c r="G188" s="63">
        <v>443031</v>
      </c>
      <c r="H188" s="63">
        <v>443031</v>
      </c>
    </row>
    <row r="189" spans="1:8" x14ac:dyDescent="0.25">
      <c r="A189" s="61" t="s">
        <v>219</v>
      </c>
      <c r="B189" s="61" t="s">
        <v>218</v>
      </c>
      <c r="C189" s="62" t="s">
        <v>0</v>
      </c>
      <c r="D189" s="62">
        <v>1</v>
      </c>
      <c r="E189" s="62">
        <v>1</v>
      </c>
      <c r="F189" s="62" t="s">
        <v>0</v>
      </c>
      <c r="G189" s="63">
        <v>1</v>
      </c>
      <c r="H189" s="63">
        <v>1</v>
      </c>
    </row>
    <row r="190" spans="1:8" x14ac:dyDescent="0.25">
      <c r="A190" s="61" t="s">
        <v>220</v>
      </c>
      <c r="B190" s="61" t="s">
        <v>218</v>
      </c>
      <c r="C190" s="62">
        <v>36839</v>
      </c>
      <c r="D190" s="62">
        <v>33151</v>
      </c>
      <c r="E190" s="62">
        <v>33151</v>
      </c>
      <c r="F190" s="62">
        <v>30497.3</v>
      </c>
      <c r="G190" s="63">
        <v>33151</v>
      </c>
      <c r="H190" s="63">
        <v>33151</v>
      </c>
    </row>
    <row r="191" spans="1:8" x14ac:dyDescent="0.25">
      <c r="A191" s="61" t="s">
        <v>221</v>
      </c>
      <c r="B191" s="61" t="s">
        <v>218</v>
      </c>
      <c r="C191" s="62">
        <v>18263</v>
      </c>
      <c r="D191" s="62">
        <v>9167</v>
      </c>
      <c r="E191" s="62">
        <v>9167</v>
      </c>
      <c r="F191" s="62">
        <v>23248.68</v>
      </c>
      <c r="G191" s="63">
        <v>9167</v>
      </c>
      <c r="H191" s="63">
        <v>9167</v>
      </c>
    </row>
    <row r="192" spans="1:8" x14ac:dyDescent="0.25">
      <c r="A192" s="61" t="s">
        <v>222</v>
      </c>
      <c r="B192" s="61" t="s">
        <v>218</v>
      </c>
      <c r="C192" s="62">
        <v>2545</v>
      </c>
      <c r="D192" s="62">
        <v>3165</v>
      </c>
      <c r="E192" s="62">
        <v>3165</v>
      </c>
      <c r="F192" s="62" t="s">
        <v>0</v>
      </c>
      <c r="G192" s="63">
        <v>3165</v>
      </c>
      <c r="H192" s="63">
        <v>3165</v>
      </c>
    </row>
    <row r="193" spans="1:8" x14ac:dyDescent="0.25">
      <c r="A193" s="61" t="s">
        <v>223</v>
      </c>
      <c r="B193" s="61" t="s">
        <v>218</v>
      </c>
      <c r="C193" s="62">
        <v>9891</v>
      </c>
      <c r="D193" s="62" t="s">
        <v>0</v>
      </c>
      <c r="E193" s="62" t="s">
        <v>0</v>
      </c>
      <c r="F193" s="62">
        <v>8528.65</v>
      </c>
      <c r="G193" s="63">
        <v>0</v>
      </c>
      <c r="H193" s="63">
        <v>0</v>
      </c>
    </row>
    <row r="194" spans="1:8" x14ac:dyDescent="0.25">
      <c r="A194" s="61" t="s">
        <v>224</v>
      </c>
      <c r="B194" s="61" t="s">
        <v>218</v>
      </c>
      <c r="C194" s="62" t="s">
        <v>0</v>
      </c>
      <c r="D194" s="62">
        <v>4948</v>
      </c>
      <c r="E194" s="62">
        <v>4948</v>
      </c>
      <c r="F194" s="62" t="s">
        <v>0</v>
      </c>
      <c r="G194" s="63">
        <v>4948</v>
      </c>
      <c r="H194" s="63">
        <v>4948</v>
      </c>
    </row>
    <row r="195" spans="1:8" x14ac:dyDescent="0.25">
      <c r="A195" s="61" t="s">
        <v>225</v>
      </c>
      <c r="B195" s="61" t="s">
        <v>218</v>
      </c>
      <c r="C195" s="62">
        <v>169869</v>
      </c>
      <c r="D195" s="62">
        <v>128854</v>
      </c>
      <c r="E195" s="62">
        <v>128854</v>
      </c>
      <c r="F195" s="62">
        <v>143666.73000000001</v>
      </c>
      <c r="G195" s="63">
        <v>128854</v>
      </c>
      <c r="H195" s="63">
        <v>128854</v>
      </c>
    </row>
    <row r="196" spans="1:8" x14ac:dyDescent="0.25">
      <c r="A196" s="61" t="s">
        <v>226</v>
      </c>
      <c r="B196" s="61" t="s">
        <v>218</v>
      </c>
      <c r="C196" s="62">
        <v>24348</v>
      </c>
      <c r="D196" s="62">
        <v>8687</v>
      </c>
      <c r="E196" s="62">
        <v>8687</v>
      </c>
      <c r="F196" s="62">
        <v>23864.31</v>
      </c>
      <c r="G196" s="63">
        <v>8687</v>
      </c>
      <c r="H196" s="63">
        <v>8687</v>
      </c>
    </row>
    <row r="197" spans="1:8" x14ac:dyDescent="0.25">
      <c r="A197" s="61" t="s">
        <v>227</v>
      </c>
      <c r="B197" s="61" t="s">
        <v>218</v>
      </c>
      <c r="C197" s="62">
        <v>2473</v>
      </c>
      <c r="D197" s="62">
        <v>2473</v>
      </c>
      <c r="E197" s="62">
        <v>2473</v>
      </c>
      <c r="F197" s="62" t="s">
        <v>0</v>
      </c>
      <c r="G197" s="63">
        <v>2473</v>
      </c>
      <c r="H197" s="63">
        <v>2473</v>
      </c>
    </row>
    <row r="198" spans="1:8" x14ac:dyDescent="0.25">
      <c r="A198" s="61" t="s">
        <v>228</v>
      </c>
      <c r="B198" s="61" t="s">
        <v>218</v>
      </c>
      <c r="C198" s="62">
        <v>78990</v>
      </c>
      <c r="D198" s="62">
        <v>94372</v>
      </c>
      <c r="E198" s="62">
        <v>94372</v>
      </c>
      <c r="F198" s="62">
        <v>3648.31</v>
      </c>
      <c r="G198" s="63">
        <v>0</v>
      </c>
      <c r="H198" s="63">
        <v>0</v>
      </c>
    </row>
    <row r="199" spans="1:8" x14ac:dyDescent="0.25">
      <c r="A199" s="61" t="s">
        <v>229</v>
      </c>
      <c r="B199" s="61" t="s">
        <v>218</v>
      </c>
      <c r="C199" s="62">
        <v>22</v>
      </c>
      <c r="D199" s="62">
        <v>22</v>
      </c>
      <c r="E199" s="62">
        <v>22</v>
      </c>
      <c r="F199" s="62" t="s">
        <v>0</v>
      </c>
      <c r="G199" s="63">
        <v>0</v>
      </c>
      <c r="H199" s="63">
        <v>0</v>
      </c>
    </row>
    <row r="200" spans="1:8" x14ac:dyDescent="0.25">
      <c r="A200" s="61" t="s">
        <v>230</v>
      </c>
      <c r="B200" s="61" t="s">
        <v>218</v>
      </c>
      <c r="C200" s="62">
        <v>16113</v>
      </c>
      <c r="D200" s="62">
        <v>5425</v>
      </c>
      <c r="E200" s="62">
        <v>5425</v>
      </c>
      <c r="F200" s="62">
        <v>0.1</v>
      </c>
      <c r="G200" s="63">
        <v>0</v>
      </c>
      <c r="H200" s="63">
        <v>0</v>
      </c>
    </row>
    <row r="201" spans="1:8" x14ac:dyDescent="0.25">
      <c r="A201" s="61" t="s">
        <v>231</v>
      </c>
      <c r="B201" s="61" t="s">
        <v>218</v>
      </c>
      <c r="C201" s="62">
        <v>3709</v>
      </c>
      <c r="D201" s="62">
        <v>3711</v>
      </c>
      <c r="E201" s="62">
        <v>3711</v>
      </c>
      <c r="F201" s="62" t="s">
        <v>0</v>
      </c>
      <c r="G201" s="63">
        <v>0</v>
      </c>
      <c r="H201" s="63">
        <v>0</v>
      </c>
    </row>
    <row r="202" spans="1:8" x14ac:dyDescent="0.25">
      <c r="A202" s="61" t="s">
        <v>232</v>
      </c>
      <c r="B202" s="61" t="s">
        <v>218</v>
      </c>
      <c r="C202" s="62">
        <v>0</v>
      </c>
      <c r="D202" s="62">
        <v>9691</v>
      </c>
      <c r="E202" s="62">
        <v>9691</v>
      </c>
      <c r="F202" s="62">
        <v>0.03</v>
      </c>
      <c r="G202" s="63">
        <v>0</v>
      </c>
      <c r="H202" s="63">
        <v>0</v>
      </c>
    </row>
    <row r="203" spans="1:8" x14ac:dyDescent="0.25">
      <c r="A203" s="61" t="s">
        <v>233</v>
      </c>
      <c r="B203" s="61" t="s">
        <v>218</v>
      </c>
      <c r="C203" s="62">
        <v>38650</v>
      </c>
      <c r="D203" s="62">
        <v>49566</v>
      </c>
      <c r="E203" s="62">
        <v>49566</v>
      </c>
      <c r="F203" s="62">
        <v>0.79</v>
      </c>
      <c r="G203" s="63">
        <v>0</v>
      </c>
      <c r="H203" s="63">
        <v>0</v>
      </c>
    </row>
    <row r="204" spans="1:8" x14ac:dyDescent="0.25">
      <c r="A204" s="61" t="s">
        <v>234</v>
      </c>
      <c r="B204" s="61" t="s">
        <v>218</v>
      </c>
      <c r="C204" s="62">
        <v>204965</v>
      </c>
      <c r="D204" s="62">
        <v>167942</v>
      </c>
      <c r="E204" s="62">
        <v>167942</v>
      </c>
      <c r="F204" s="62">
        <v>253525.24</v>
      </c>
      <c r="G204" s="63">
        <v>167942</v>
      </c>
      <c r="H204" s="63">
        <v>167942</v>
      </c>
    </row>
    <row r="205" spans="1:8" x14ac:dyDescent="0.25">
      <c r="A205" s="61" t="s">
        <v>235</v>
      </c>
      <c r="B205" s="61" t="s">
        <v>218</v>
      </c>
      <c r="C205" s="62">
        <v>26</v>
      </c>
      <c r="D205" s="62">
        <v>25</v>
      </c>
      <c r="E205" s="62">
        <v>25</v>
      </c>
      <c r="F205" s="62" t="s">
        <v>0</v>
      </c>
      <c r="G205" s="63">
        <v>25</v>
      </c>
      <c r="H205" s="63">
        <v>25</v>
      </c>
    </row>
    <row r="206" spans="1:8" x14ac:dyDescent="0.25">
      <c r="A206" s="61" t="s">
        <v>236</v>
      </c>
      <c r="B206" s="61" t="s">
        <v>218</v>
      </c>
      <c r="C206" s="62">
        <v>29701</v>
      </c>
      <c r="D206" s="62">
        <v>36162</v>
      </c>
      <c r="E206" s="62">
        <v>36162</v>
      </c>
      <c r="F206" s="62">
        <v>49226.06</v>
      </c>
      <c r="G206" s="63">
        <v>36162</v>
      </c>
      <c r="H206" s="63">
        <v>36162</v>
      </c>
    </row>
    <row r="207" spans="1:8" x14ac:dyDescent="0.25">
      <c r="A207" s="61" t="s">
        <v>237</v>
      </c>
      <c r="B207" s="61" t="s">
        <v>218</v>
      </c>
      <c r="C207" s="62">
        <v>14807</v>
      </c>
      <c r="D207" s="62">
        <v>3520</v>
      </c>
      <c r="E207" s="62">
        <v>3520</v>
      </c>
      <c r="F207" s="62">
        <v>18135.759999999998</v>
      </c>
      <c r="G207" s="63">
        <v>3520</v>
      </c>
      <c r="H207" s="63">
        <v>3520</v>
      </c>
    </row>
    <row r="208" spans="1:8" x14ac:dyDescent="0.25">
      <c r="A208" s="61" t="s">
        <v>238</v>
      </c>
      <c r="B208" s="61" t="s">
        <v>218</v>
      </c>
      <c r="C208" s="62" t="s">
        <v>0</v>
      </c>
      <c r="D208" s="62">
        <v>4947</v>
      </c>
      <c r="E208" s="62">
        <v>4947</v>
      </c>
      <c r="F208" s="62" t="s">
        <v>0</v>
      </c>
      <c r="G208" s="63">
        <v>4947</v>
      </c>
      <c r="H208" s="63">
        <v>4947</v>
      </c>
    </row>
    <row r="209" spans="1:8" x14ac:dyDescent="0.25">
      <c r="A209" s="61" t="s">
        <v>239</v>
      </c>
      <c r="B209" s="61" t="s">
        <v>218</v>
      </c>
      <c r="C209" s="62" t="s">
        <v>0</v>
      </c>
      <c r="D209" s="62" t="s">
        <v>0</v>
      </c>
      <c r="E209" s="62" t="s">
        <v>0</v>
      </c>
      <c r="F209" s="62">
        <v>22457.02</v>
      </c>
      <c r="G209" s="63">
        <v>0</v>
      </c>
      <c r="H209" s="63">
        <v>0</v>
      </c>
    </row>
    <row r="210" spans="1:8" x14ac:dyDescent="0.25">
      <c r="A210" s="61" t="s">
        <v>240</v>
      </c>
      <c r="B210" s="61" t="s">
        <v>218</v>
      </c>
      <c r="C210" s="62">
        <v>105080</v>
      </c>
      <c r="D210" s="62">
        <v>160091</v>
      </c>
      <c r="E210" s="62">
        <v>160091</v>
      </c>
      <c r="F210" s="62">
        <v>86322.36</v>
      </c>
      <c r="G210" s="63">
        <v>160091</v>
      </c>
      <c r="H210" s="63">
        <v>160091</v>
      </c>
    </row>
    <row r="211" spans="1:8" x14ac:dyDescent="0.25">
      <c r="A211" s="61" t="s">
        <v>241</v>
      </c>
      <c r="B211" s="61" t="s">
        <v>218</v>
      </c>
      <c r="C211" s="62">
        <v>26</v>
      </c>
      <c r="D211" s="62">
        <v>25</v>
      </c>
      <c r="E211" s="62">
        <v>25</v>
      </c>
      <c r="F211" s="62" t="s">
        <v>0</v>
      </c>
      <c r="G211" s="63">
        <v>25</v>
      </c>
      <c r="H211" s="63">
        <v>25</v>
      </c>
    </row>
    <row r="212" spans="1:8" x14ac:dyDescent="0.25">
      <c r="A212" s="61" t="s">
        <v>242</v>
      </c>
      <c r="B212" s="61" t="s">
        <v>218</v>
      </c>
      <c r="C212" s="62">
        <v>22251</v>
      </c>
      <c r="D212" s="62">
        <v>17159</v>
      </c>
      <c r="E212" s="62">
        <v>17159</v>
      </c>
      <c r="F212" s="62">
        <v>20336.78</v>
      </c>
      <c r="G212" s="63">
        <v>17159</v>
      </c>
      <c r="H212" s="63">
        <v>17159</v>
      </c>
    </row>
    <row r="213" spans="1:8" x14ac:dyDescent="0.25">
      <c r="A213" s="61" t="s">
        <v>243</v>
      </c>
      <c r="B213" s="61" t="s">
        <v>218</v>
      </c>
      <c r="C213" s="62" t="s">
        <v>0</v>
      </c>
      <c r="D213" s="62">
        <v>1</v>
      </c>
      <c r="E213" s="62">
        <v>1</v>
      </c>
      <c r="F213" s="62">
        <v>249.57</v>
      </c>
      <c r="G213" s="63">
        <v>1</v>
      </c>
      <c r="H213" s="63">
        <v>1</v>
      </c>
    </row>
    <row r="214" spans="1:8" x14ac:dyDescent="0.25">
      <c r="A214" s="61" t="s">
        <v>244</v>
      </c>
      <c r="B214" s="61" t="s">
        <v>218</v>
      </c>
      <c r="C214" s="62" t="s">
        <v>0</v>
      </c>
      <c r="D214" s="62">
        <v>4482</v>
      </c>
      <c r="E214" s="62">
        <v>4482</v>
      </c>
      <c r="F214" s="62" t="s">
        <v>0</v>
      </c>
      <c r="G214" s="63">
        <v>4482</v>
      </c>
      <c r="H214" s="63">
        <v>4482</v>
      </c>
    </row>
    <row r="215" spans="1:8" x14ac:dyDescent="0.25">
      <c r="A215" s="61" t="s">
        <v>245</v>
      </c>
      <c r="B215" s="61" t="s">
        <v>218</v>
      </c>
      <c r="C215" s="62" t="s">
        <v>0</v>
      </c>
      <c r="D215" s="62" t="s">
        <v>0</v>
      </c>
      <c r="E215" s="62" t="s">
        <v>0</v>
      </c>
      <c r="F215" s="62">
        <v>10991.54</v>
      </c>
      <c r="G215" s="63">
        <v>0</v>
      </c>
      <c r="H215" s="63">
        <v>0</v>
      </c>
    </row>
    <row r="216" spans="1:8" x14ac:dyDescent="0.25">
      <c r="A216" s="61" t="s">
        <v>246</v>
      </c>
      <c r="B216" s="61" t="s">
        <v>218</v>
      </c>
      <c r="C216" s="62" t="s">
        <v>0</v>
      </c>
      <c r="D216" s="62">
        <v>3711</v>
      </c>
      <c r="E216" s="62">
        <v>3711</v>
      </c>
      <c r="F216" s="62" t="s">
        <v>0</v>
      </c>
      <c r="G216" s="63">
        <v>3711</v>
      </c>
      <c r="H216" s="63">
        <v>3711</v>
      </c>
    </row>
    <row r="217" spans="1:8" x14ac:dyDescent="0.25">
      <c r="A217" s="61" t="s">
        <v>247</v>
      </c>
      <c r="B217" s="61" t="s">
        <v>1287</v>
      </c>
      <c r="C217" s="62">
        <v>5</v>
      </c>
      <c r="D217" s="62" t="s">
        <v>0</v>
      </c>
      <c r="E217" s="62" t="s">
        <v>0</v>
      </c>
      <c r="F217" s="62" t="s">
        <v>0</v>
      </c>
      <c r="G217" s="63">
        <v>0</v>
      </c>
      <c r="H217" s="63">
        <v>0</v>
      </c>
    </row>
    <row r="218" spans="1:8" x14ac:dyDescent="0.25">
      <c r="A218" s="61" t="s">
        <v>248</v>
      </c>
      <c r="B218" s="61" t="s">
        <v>249</v>
      </c>
      <c r="C218" s="62">
        <v>21724</v>
      </c>
      <c r="D218" s="62">
        <v>25319</v>
      </c>
      <c r="E218" s="62">
        <v>25319</v>
      </c>
      <c r="F218" s="62">
        <v>19009.59</v>
      </c>
      <c r="G218" s="63">
        <f>(G28+G50+G86+G100+G102+G116)*0.65%</f>
        <v>13350.963600000001</v>
      </c>
      <c r="H218" s="63">
        <f>(H28+H50+H86+H100+H102+H116)*0.65%</f>
        <v>13722.964008000001</v>
      </c>
    </row>
    <row r="219" spans="1:8" x14ac:dyDescent="0.25">
      <c r="A219" s="61" t="s">
        <v>250</v>
      </c>
      <c r="B219" s="61" t="s">
        <v>249</v>
      </c>
      <c r="C219" s="62">
        <v>4</v>
      </c>
      <c r="D219" s="62">
        <v>10</v>
      </c>
      <c r="E219" s="62">
        <v>10</v>
      </c>
      <c r="F219" s="62">
        <v>2.97</v>
      </c>
      <c r="G219" s="63">
        <v>0</v>
      </c>
      <c r="H219" s="63">
        <v>1</v>
      </c>
    </row>
    <row r="220" spans="1:8" x14ac:dyDescent="0.25">
      <c r="A220" s="61" t="s">
        <v>251</v>
      </c>
      <c r="B220" s="61" t="s">
        <v>249</v>
      </c>
      <c r="C220" s="62">
        <v>5823</v>
      </c>
      <c r="D220" s="62">
        <v>2129</v>
      </c>
      <c r="E220" s="62">
        <v>2129</v>
      </c>
      <c r="F220" s="62">
        <v>4831.53</v>
      </c>
      <c r="G220" s="63">
        <f>(G29+G52)*0.65%</f>
        <v>1736.4624550000001</v>
      </c>
      <c r="H220" s="63">
        <f>(H29+H52)*0.65%</f>
        <v>1787.8738150000001</v>
      </c>
    </row>
    <row r="221" spans="1:8" x14ac:dyDescent="0.25">
      <c r="A221" s="61" t="s">
        <v>252</v>
      </c>
      <c r="B221" s="61" t="s">
        <v>249</v>
      </c>
      <c r="C221" s="62">
        <v>633</v>
      </c>
      <c r="D221" s="62">
        <v>510</v>
      </c>
      <c r="E221" s="62">
        <v>510</v>
      </c>
      <c r="F221" s="62">
        <v>3667.63</v>
      </c>
      <c r="G221" s="63">
        <f>(G30+G53+G87+G117)*0.65%</f>
        <v>681.27637500000003</v>
      </c>
      <c r="H221" s="63">
        <f>(H30+H53+H87+H117)*0.65%</f>
        <v>701.71466625000016</v>
      </c>
    </row>
    <row r="222" spans="1:8" x14ac:dyDescent="0.25">
      <c r="A222" s="61" t="s">
        <v>253</v>
      </c>
      <c r="B222" s="61" t="s">
        <v>249</v>
      </c>
      <c r="C222" s="62">
        <v>1026</v>
      </c>
      <c r="D222" s="62">
        <v>286</v>
      </c>
      <c r="E222" s="62">
        <v>286</v>
      </c>
      <c r="F222" s="64">
        <v>-0.8</v>
      </c>
      <c r="G222" s="63">
        <f>(G31+G54)*0.65%</f>
        <v>0</v>
      </c>
      <c r="H222" s="63">
        <f>(H31+H54)*0.65%</f>
        <v>0</v>
      </c>
    </row>
    <row r="223" spans="1:8" x14ac:dyDescent="0.25">
      <c r="A223" s="61" t="s">
        <v>254</v>
      </c>
      <c r="B223" s="61" t="s">
        <v>249</v>
      </c>
      <c r="C223" s="62">
        <v>6</v>
      </c>
      <c r="D223" s="62">
        <v>6</v>
      </c>
      <c r="E223" s="62">
        <v>6</v>
      </c>
      <c r="F223" s="62">
        <v>5.94</v>
      </c>
      <c r="G223" s="63">
        <f>G55*0.65%</f>
        <v>6.5000000000000009</v>
      </c>
      <c r="H223" s="63">
        <f>H55*0.65%</f>
        <v>6.5000000000000009</v>
      </c>
    </row>
    <row r="224" spans="1:8" x14ac:dyDescent="0.25">
      <c r="A224" s="61" t="s">
        <v>255</v>
      </c>
      <c r="B224" s="61" t="s">
        <v>249</v>
      </c>
      <c r="C224" s="62">
        <v>3578</v>
      </c>
      <c r="D224" s="62">
        <v>13</v>
      </c>
      <c r="E224" s="62">
        <v>13</v>
      </c>
      <c r="F224" s="62">
        <v>2521.89</v>
      </c>
      <c r="G224" s="63">
        <f>(G32+G56)*0.65%</f>
        <v>335.74450000000002</v>
      </c>
      <c r="H224" s="63">
        <f>(H32+H56)*0.65%</f>
        <v>345.81683500000003</v>
      </c>
    </row>
    <row r="225" spans="1:8" x14ac:dyDescent="0.25">
      <c r="A225" s="61" t="s">
        <v>256</v>
      </c>
      <c r="B225" s="61" t="s">
        <v>249</v>
      </c>
      <c r="C225" s="62" t="s">
        <v>0</v>
      </c>
      <c r="D225" s="62">
        <v>119</v>
      </c>
      <c r="E225" s="62">
        <v>119</v>
      </c>
      <c r="F225" s="62" t="s">
        <v>0</v>
      </c>
      <c r="G225" s="63">
        <v>0</v>
      </c>
      <c r="H225" s="63">
        <v>1</v>
      </c>
    </row>
    <row r="226" spans="1:8" x14ac:dyDescent="0.25">
      <c r="A226" s="61" t="s">
        <v>257</v>
      </c>
      <c r="B226" s="61" t="s">
        <v>249</v>
      </c>
      <c r="C226" s="62">
        <v>14859</v>
      </c>
      <c r="D226" s="62">
        <v>10614</v>
      </c>
      <c r="E226" s="62">
        <v>10614</v>
      </c>
      <c r="F226" s="62">
        <v>12954.87</v>
      </c>
      <c r="G226" s="63">
        <f>(G33+G57+G88+G103+G118)*0.65%</f>
        <v>10712.378950000002</v>
      </c>
      <c r="H226" s="63">
        <f>(H33+H57+H88+H103+H118)*0.65%</f>
        <v>11017.95533475</v>
      </c>
    </row>
    <row r="227" spans="1:8" x14ac:dyDescent="0.25">
      <c r="A227" s="61" t="s">
        <v>258</v>
      </c>
      <c r="B227" s="61" t="s">
        <v>249</v>
      </c>
      <c r="C227" s="62">
        <v>3</v>
      </c>
      <c r="D227" s="62" t="s">
        <v>0</v>
      </c>
      <c r="E227" s="62" t="s">
        <v>0</v>
      </c>
      <c r="F227" s="62" t="s">
        <v>0</v>
      </c>
      <c r="G227" s="63">
        <f>G58*0.65%</f>
        <v>0</v>
      </c>
      <c r="H227" s="63">
        <f>H58*0.65%</f>
        <v>0</v>
      </c>
    </row>
    <row r="228" spans="1:8" x14ac:dyDescent="0.25">
      <c r="A228" s="61" t="s">
        <v>259</v>
      </c>
      <c r="B228" s="61" t="s">
        <v>249</v>
      </c>
      <c r="C228" s="62">
        <v>3413</v>
      </c>
      <c r="D228" s="62">
        <v>669</v>
      </c>
      <c r="E228" s="62">
        <v>669</v>
      </c>
      <c r="F228" s="62">
        <v>1044.55</v>
      </c>
      <c r="G228" s="63">
        <f>(G34+G59+G89+G104+G119)*0.65%</f>
        <v>1664.939705</v>
      </c>
      <c r="H228" s="63">
        <f>(H34+H59+H89+H104+H119)*0.65%</f>
        <v>1714.0948837999999</v>
      </c>
    </row>
    <row r="229" spans="1:8" x14ac:dyDescent="0.25">
      <c r="A229" s="61" t="s">
        <v>260</v>
      </c>
      <c r="B229" s="61" t="s">
        <v>249</v>
      </c>
      <c r="C229" s="62">
        <v>91</v>
      </c>
      <c r="D229" s="62">
        <v>43</v>
      </c>
      <c r="E229" s="62">
        <v>43</v>
      </c>
      <c r="F229" s="62" t="s">
        <v>0</v>
      </c>
      <c r="G229" s="63">
        <f>(G35+G60)*0.65%</f>
        <v>0</v>
      </c>
      <c r="H229" s="63">
        <f>(H35+H60)*0.65%</f>
        <v>0</v>
      </c>
    </row>
    <row r="230" spans="1:8" x14ac:dyDescent="0.25">
      <c r="A230" s="61" t="s">
        <v>261</v>
      </c>
      <c r="B230" s="61" t="s">
        <v>249</v>
      </c>
      <c r="C230" s="62">
        <v>6</v>
      </c>
      <c r="D230" s="62">
        <v>6</v>
      </c>
      <c r="E230" s="62">
        <v>6</v>
      </c>
      <c r="F230" s="62">
        <v>4.4000000000000004</v>
      </c>
      <c r="G230" s="63">
        <f>G61*0.65%</f>
        <v>0</v>
      </c>
      <c r="H230" s="63">
        <f>H61*0.65%</f>
        <v>0</v>
      </c>
    </row>
    <row r="231" spans="1:8" x14ac:dyDescent="0.25">
      <c r="A231" s="61" t="s">
        <v>262</v>
      </c>
      <c r="B231" s="61" t="s">
        <v>249</v>
      </c>
      <c r="C231" s="62">
        <v>7148</v>
      </c>
      <c r="D231" s="62">
        <v>5115</v>
      </c>
      <c r="E231" s="62">
        <v>5115</v>
      </c>
      <c r="F231" s="62">
        <v>183.07</v>
      </c>
      <c r="G231" s="63">
        <v>0</v>
      </c>
      <c r="H231" s="63">
        <v>0</v>
      </c>
    </row>
    <row r="232" spans="1:8" x14ac:dyDescent="0.25">
      <c r="A232" s="61" t="s">
        <v>263</v>
      </c>
      <c r="B232" s="61" t="s">
        <v>249</v>
      </c>
      <c r="C232" s="62">
        <v>2</v>
      </c>
      <c r="D232" s="62">
        <v>2</v>
      </c>
      <c r="E232" s="62">
        <v>2</v>
      </c>
      <c r="F232" s="62" t="s">
        <v>0</v>
      </c>
      <c r="G232" s="63">
        <v>0</v>
      </c>
      <c r="H232" s="63">
        <v>0</v>
      </c>
    </row>
    <row r="233" spans="1:8" x14ac:dyDescent="0.25">
      <c r="A233" s="61" t="s">
        <v>264</v>
      </c>
      <c r="B233" s="61" t="s">
        <v>249</v>
      </c>
      <c r="C233" s="62">
        <v>1125</v>
      </c>
      <c r="D233" s="62">
        <v>409</v>
      </c>
      <c r="E233" s="62">
        <v>409</v>
      </c>
      <c r="F233" s="62">
        <v>6.07</v>
      </c>
      <c r="G233" s="63">
        <v>0</v>
      </c>
      <c r="H233" s="63">
        <v>0</v>
      </c>
    </row>
    <row r="234" spans="1:8" x14ac:dyDescent="0.25">
      <c r="A234" s="61" t="s">
        <v>265</v>
      </c>
      <c r="B234" s="61" t="s">
        <v>249</v>
      </c>
      <c r="C234" s="62">
        <v>254</v>
      </c>
      <c r="D234" s="62">
        <v>233</v>
      </c>
      <c r="E234" s="62">
        <v>233</v>
      </c>
      <c r="F234" s="62">
        <v>10.64</v>
      </c>
      <c r="G234" s="63">
        <v>0</v>
      </c>
      <c r="H234" s="63">
        <v>0</v>
      </c>
    </row>
    <row r="235" spans="1:8" x14ac:dyDescent="0.25">
      <c r="A235" s="61" t="s">
        <v>266</v>
      </c>
      <c r="B235" s="61" t="s">
        <v>249</v>
      </c>
      <c r="C235" s="62">
        <v>0</v>
      </c>
      <c r="D235" s="62">
        <v>603</v>
      </c>
      <c r="E235" s="62">
        <v>603</v>
      </c>
      <c r="F235" s="64">
        <v>-0.39</v>
      </c>
      <c r="G235" s="63">
        <v>0</v>
      </c>
      <c r="H235" s="63">
        <v>0</v>
      </c>
    </row>
    <row r="236" spans="1:8" x14ac:dyDescent="0.25">
      <c r="A236" s="61" t="s">
        <v>267</v>
      </c>
      <c r="B236" s="61" t="s">
        <v>249</v>
      </c>
      <c r="C236" s="62">
        <v>2744</v>
      </c>
      <c r="D236" s="62">
        <v>2582</v>
      </c>
      <c r="E236" s="62">
        <v>2582</v>
      </c>
      <c r="F236" s="62">
        <v>0.01</v>
      </c>
      <c r="G236" s="63">
        <v>0</v>
      </c>
      <c r="H236" s="63">
        <v>0</v>
      </c>
    </row>
    <row r="237" spans="1:8" x14ac:dyDescent="0.25">
      <c r="A237" s="61" t="s">
        <v>268</v>
      </c>
      <c r="B237" s="61" t="s">
        <v>249</v>
      </c>
      <c r="C237" s="62">
        <v>25101</v>
      </c>
      <c r="D237" s="62">
        <v>10254</v>
      </c>
      <c r="E237" s="62">
        <v>10254</v>
      </c>
      <c r="F237" s="62">
        <v>24538.01</v>
      </c>
      <c r="G237" s="63">
        <f>(G40+G66+G93+G108+G124)*0.65%</f>
        <v>15185.733030000001</v>
      </c>
      <c r="H237" s="63">
        <f>(H40+H66+H93+H108+H124)*0.65%</f>
        <v>15633.583001399998</v>
      </c>
    </row>
    <row r="238" spans="1:8" x14ac:dyDescent="0.25">
      <c r="A238" s="61" t="s">
        <v>269</v>
      </c>
      <c r="B238" s="61" t="s">
        <v>249</v>
      </c>
      <c r="C238" s="62">
        <v>8</v>
      </c>
      <c r="D238" s="62">
        <v>2</v>
      </c>
      <c r="E238" s="62">
        <v>2</v>
      </c>
      <c r="F238" s="62">
        <v>7.15</v>
      </c>
      <c r="G238" s="63">
        <f>G67*0.65%</f>
        <v>6.5000000000000009</v>
      </c>
      <c r="H238" s="63">
        <f>H67*0.65%</f>
        <v>6.5000000000000009</v>
      </c>
    </row>
    <row r="239" spans="1:8" x14ac:dyDescent="0.25">
      <c r="A239" s="61" t="s">
        <v>270</v>
      </c>
      <c r="B239" s="61" t="s">
        <v>249</v>
      </c>
      <c r="C239" s="62">
        <v>2</v>
      </c>
      <c r="D239" s="62">
        <v>2</v>
      </c>
      <c r="E239" s="62">
        <v>2</v>
      </c>
      <c r="F239" s="62" t="s">
        <v>0</v>
      </c>
      <c r="G239" s="63">
        <v>0</v>
      </c>
      <c r="H239" s="63">
        <v>1</v>
      </c>
    </row>
    <row r="240" spans="1:8" x14ac:dyDescent="0.25">
      <c r="A240" s="61" t="s">
        <v>271</v>
      </c>
      <c r="B240" s="61" t="s">
        <v>249</v>
      </c>
      <c r="C240" s="62">
        <v>1740</v>
      </c>
      <c r="D240" s="62">
        <v>5869</v>
      </c>
      <c r="E240" s="62">
        <v>5869</v>
      </c>
      <c r="F240" s="62">
        <v>3098.18</v>
      </c>
      <c r="G240" s="63">
        <f>(G41+G68+G95+G109+G125)*0.65%</f>
        <v>2342.0644000000002</v>
      </c>
      <c r="H240" s="63">
        <f>(H41+H68+H95+H109+H125)*0.65%</f>
        <v>2410.9613268000003</v>
      </c>
    </row>
    <row r="241" spans="1:8" x14ac:dyDescent="0.25">
      <c r="A241" s="61" t="s">
        <v>272</v>
      </c>
      <c r="B241" s="61" t="s">
        <v>249</v>
      </c>
      <c r="C241" s="62">
        <v>1078</v>
      </c>
      <c r="D241" s="62">
        <v>24</v>
      </c>
      <c r="E241" s="62">
        <v>24</v>
      </c>
      <c r="F241" s="62">
        <v>1260.6400000000001</v>
      </c>
      <c r="G241" s="63">
        <f>(G42+G69)*0.65%</f>
        <v>1317.3208750000001</v>
      </c>
      <c r="H241" s="63">
        <f>(H42+H69)*0.65%</f>
        <v>1352.7454850000001</v>
      </c>
    </row>
    <row r="242" spans="1:8" x14ac:dyDescent="0.25">
      <c r="A242" s="61" t="s">
        <v>273</v>
      </c>
      <c r="B242" s="61" t="s">
        <v>249</v>
      </c>
      <c r="C242" s="62">
        <v>6</v>
      </c>
      <c r="D242" s="62">
        <v>127</v>
      </c>
      <c r="E242" s="62">
        <v>127</v>
      </c>
      <c r="F242" s="62">
        <v>0.38</v>
      </c>
      <c r="G242" s="63">
        <f>(G109+G126)*0.65%</f>
        <v>6.5000000000000009</v>
      </c>
      <c r="H242" s="63">
        <f>(H109+H126)*0.65%</f>
        <v>6.5000000000000009</v>
      </c>
    </row>
    <row r="243" spans="1:8" x14ac:dyDescent="0.25">
      <c r="A243" s="61" t="s">
        <v>274</v>
      </c>
      <c r="B243" s="61" t="s">
        <v>249</v>
      </c>
      <c r="C243" s="62" t="s">
        <v>0</v>
      </c>
      <c r="D243" s="62" t="s">
        <v>0</v>
      </c>
      <c r="E243" s="62" t="s">
        <v>0</v>
      </c>
      <c r="F243" s="62">
        <v>1045.8900000000001</v>
      </c>
      <c r="G243" s="63">
        <v>0</v>
      </c>
      <c r="H243" s="63">
        <v>1</v>
      </c>
    </row>
    <row r="244" spans="1:8" x14ac:dyDescent="0.25">
      <c r="A244" s="61" t="s">
        <v>275</v>
      </c>
      <c r="B244" s="61" t="s">
        <v>249</v>
      </c>
      <c r="C244" s="62">
        <v>7895</v>
      </c>
      <c r="D244" s="62">
        <v>13283</v>
      </c>
      <c r="E244" s="62">
        <v>13283</v>
      </c>
      <c r="F244" s="62">
        <v>6993.32</v>
      </c>
      <c r="G244" s="63">
        <f>(G44+G71+G97+G112+G128)*0.65%</f>
        <v>6952.0444500000012</v>
      </c>
      <c r="H244" s="63">
        <f>(H44+H71+H97+H112+H128)*0.65%</f>
        <v>7153.0495659999997</v>
      </c>
    </row>
    <row r="245" spans="1:8" x14ac:dyDescent="0.25">
      <c r="A245" s="61" t="s">
        <v>276</v>
      </c>
      <c r="B245" s="61" t="s">
        <v>249</v>
      </c>
      <c r="C245" s="62">
        <v>8</v>
      </c>
      <c r="D245" s="62">
        <v>7</v>
      </c>
      <c r="E245" s="62">
        <v>7</v>
      </c>
      <c r="F245" s="62">
        <v>5.72</v>
      </c>
      <c r="G245" s="63">
        <f>G72*0.65%</f>
        <v>4.875</v>
      </c>
      <c r="H245" s="63">
        <f>H72*0.65%</f>
        <v>4.875</v>
      </c>
    </row>
    <row r="246" spans="1:8" x14ac:dyDescent="0.25">
      <c r="A246" s="61" t="s">
        <v>277</v>
      </c>
      <c r="B246" s="61" t="s">
        <v>249</v>
      </c>
      <c r="C246" s="62">
        <v>2</v>
      </c>
      <c r="D246" s="62">
        <v>2</v>
      </c>
      <c r="E246" s="62">
        <v>2</v>
      </c>
      <c r="F246" s="62" t="s">
        <v>0</v>
      </c>
      <c r="G246" s="63">
        <v>0</v>
      </c>
      <c r="H246" s="63">
        <v>1</v>
      </c>
    </row>
    <row r="247" spans="1:8" x14ac:dyDescent="0.25">
      <c r="A247" s="61" t="s">
        <v>278</v>
      </c>
      <c r="B247" s="61" t="s">
        <v>249</v>
      </c>
      <c r="C247" s="62">
        <v>1743</v>
      </c>
      <c r="D247" s="62">
        <v>1399</v>
      </c>
      <c r="E247" s="62">
        <v>1399</v>
      </c>
      <c r="F247" s="62">
        <v>2102.4499999999998</v>
      </c>
      <c r="G247" s="63">
        <f>(G45+G73+G98+G113+G129)*0.65%</f>
        <v>1243.9053250000002</v>
      </c>
      <c r="H247" s="63">
        <f>(H45+H73+H98+H113+H129)*0.65%</f>
        <v>1280.4424847500002</v>
      </c>
    </row>
    <row r="248" spans="1:8" x14ac:dyDescent="0.25">
      <c r="A248" s="61" t="s">
        <v>279</v>
      </c>
      <c r="B248" s="61" t="s">
        <v>249</v>
      </c>
      <c r="C248" s="62">
        <v>48</v>
      </c>
      <c r="D248" s="62">
        <v>38</v>
      </c>
      <c r="E248" s="62">
        <v>38</v>
      </c>
      <c r="F248" s="62">
        <v>306.02999999999997</v>
      </c>
      <c r="G248" s="63">
        <f>(G46+G74)*0.65%</f>
        <v>26.000000000000004</v>
      </c>
      <c r="H248" s="63">
        <f>(H46+H74)*0.65%</f>
        <v>21.125000000000004</v>
      </c>
    </row>
    <row r="249" spans="1:8" x14ac:dyDescent="0.25">
      <c r="A249" s="61" t="s">
        <v>280</v>
      </c>
      <c r="B249" s="61" t="s">
        <v>249</v>
      </c>
      <c r="C249" s="62">
        <v>3</v>
      </c>
      <c r="D249" s="62">
        <v>162</v>
      </c>
      <c r="E249" s="62">
        <v>162</v>
      </c>
      <c r="F249" s="62">
        <v>1.73</v>
      </c>
      <c r="G249" s="63">
        <f>G114*0.65%</f>
        <v>6.5000000000000009</v>
      </c>
      <c r="H249" s="63">
        <f>H114*0.65%</f>
        <v>6.5000000000000009</v>
      </c>
    </row>
    <row r="250" spans="1:8" x14ac:dyDescent="0.25">
      <c r="A250" s="61" t="s">
        <v>281</v>
      </c>
      <c r="B250" s="61" t="s">
        <v>249</v>
      </c>
      <c r="C250" s="62">
        <v>31</v>
      </c>
      <c r="D250" s="62" t="s">
        <v>0</v>
      </c>
      <c r="E250" s="62" t="s">
        <v>0</v>
      </c>
      <c r="F250" s="62">
        <v>49.16</v>
      </c>
      <c r="G250" s="63">
        <v>0</v>
      </c>
      <c r="H250" s="63">
        <v>1</v>
      </c>
    </row>
    <row r="251" spans="1:8" x14ac:dyDescent="0.25">
      <c r="A251" s="61" t="s">
        <v>282</v>
      </c>
      <c r="B251" s="61" t="s">
        <v>249</v>
      </c>
      <c r="C251" s="62" t="s">
        <v>0</v>
      </c>
      <c r="D251" s="62" t="s">
        <v>0</v>
      </c>
      <c r="E251" s="62" t="s">
        <v>0</v>
      </c>
      <c r="F251" s="62">
        <v>1300.05</v>
      </c>
      <c r="G251" s="63" t="s">
        <v>1553</v>
      </c>
      <c r="H251" s="63" t="s">
        <v>1553</v>
      </c>
    </row>
    <row r="252" spans="1:8" x14ac:dyDescent="0.25">
      <c r="A252" s="61" t="s">
        <v>283</v>
      </c>
      <c r="B252" s="61" t="s">
        <v>249</v>
      </c>
      <c r="C252" s="62" t="s">
        <v>0</v>
      </c>
      <c r="D252" s="62">
        <v>338</v>
      </c>
      <c r="E252" s="62">
        <v>338</v>
      </c>
      <c r="F252" s="62" t="s">
        <v>0</v>
      </c>
      <c r="G252" s="63">
        <f>G49*0.65%</f>
        <v>0</v>
      </c>
      <c r="H252" s="63">
        <f>H49*0.65%</f>
        <v>0</v>
      </c>
    </row>
    <row r="253" spans="1:8" x14ac:dyDescent="0.25">
      <c r="A253" s="61" t="s">
        <v>284</v>
      </c>
      <c r="B253" s="61" t="s">
        <v>1288</v>
      </c>
      <c r="C253" s="62" t="s">
        <v>0</v>
      </c>
      <c r="D253" s="62">
        <v>26</v>
      </c>
      <c r="E253" s="62">
        <v>26</v>
      </c>
      <c r="F253" s="62" t="s">
        <v>0</v>
      </c>
      <c r="G253" s="63">
        <f>G100*0.65%</f>
        <v>0</v>
      </c>
      <c r="H253" s="63">
        <f>H100*0.65%</f>
        <v>0</v>
      </c>
    </row>
    <row r="254" spans="1:8" x14ac:dyDescent="0.25">
      <c r="A254" s="61" t="s">
        <v>285</v>
      </c>
      <c r="B254" s="61" t="s">
        <v>1288</v>
      </c>
      <c r="C254" s="62" t="s">
        <v>0</v>
      </c>
      <c r="D254" s="62">
        <v>6</v>
      </c>
      <c r="E254" s="62">
        <v>6</v>
      </c>
      <c r="F254" s="62" t="s">
        <v>0</v>
      </c>
      <c r="G254" s="63">
        <f>G101*0.65%</f>
        <v>0</v>
      </c>
      <c r="H254" s="63">
        <f>H101*0.65%</f>
        <v>0</v>
      </c>
    </row>
    <row r="255" spans="1:8" x14ac:dyDescent="0.25">
      <c r="A255" s="61" t="s">
        <v>286</v>
      </c>
      <c r="B255" s="61" t="s">
        <v>1289</v>
      </c>
      <c r="C255" s="62">
        <v>48</v>
      </c>
      <c r="D255" s="62" t="s">
        <v>0</v>
      </c>
      <c r="E255" s="62" t="s">
        <v>0</v>
      </c>
      <c r="F255" s="62">
        <v>117.39</v>
      </c>
      <c r="G255" s="63">
        <f>(G76+G131)*0.65%</f>
        <v>162.50000000000003</v>
      </c>
      <c r="H255" s="63">
        <f>(H76+H131)*0.65%</f>
        <v>167.37500000000003</v>
      </c>
    </row>
    <row r="256" spans="1:8" x14ac:dyDescent="0.25">
      <c r="A256" s="61" t="s">
        <v>287</v>
      </c>
      <c r="B256" s="61" t="s">
        <v>1289</v>
      </c>
      <c r="C256" s="62">
        <v>34</v>
      </c>
      <c r="D256" s="62" t="s">
        <v>0</v>
      </c>
      <c r="E256" s="62" t="s">
        <v>0</v>
      </c>
      <c r="F256" s="62">
        <v>2.4700000000000002</v>
      </c>
      <c r="G256" s="63">
        <f>(G77+G132)*0.65%</f>
        <v>0</v>
      </c>
      <c r="H256" s="63">
        <f>(H77+H132)*0.65%</f>
        <v>0</v>
      </c>
    </row>
    <row r="257" spans="1:8" x14ac:dyDescent="0.25">
      <c r="A257" s="61" t="s">
        <v>288</v>
      </c>
      <c r="B257" s="61" t="s">
        <v>1290</v>
      </c>
      <c r="C257" s="62">
        <v>4</v>
      </c>
      <c r="D257" s="62">
        <v>48</v>
      </c>
      <c r="E257" s="62">
        <v>48</v>
      </c>
      <c r="F257" s="62" t="s">
        <v>0</v>
      </c>
      <c r="G257" s="63">
        <f>G78*0.65%</f>
        <v>0</v>
      </c>
      <c r="H257" s="63">
        <f>H78*0.65%</f>
        <v>0</v>
      </c>
    </row>
    <row r="258" spans="1:8" x14ac:dyDescent="0.25">
      <c r="A258" s="61" t="s">
        <v>289</v>
      </c>
      <c r="B258" s="61" t="s">
        <v>1291</v>
      </c>
      <c r="C258" s="62">
        <v>12</v>
      </c>
      <c r="D258" s="62" t="s">
        <v>0</v>
      </c>
      <c r="E258" s="62" t="s">
        <v>0</v>
      </c>
      <c r="F258" s="62">
        <v>33</v>
      </c>
      <c r="G258" s="63">
        <f>(G79+G80+G82+G83)*0.65%</f>
        <v>32.5</v>
      </c>
      <c r="H258" s="63">
        <f>(H79+H80+H82+H83)*0.65%</f>
        <v>33.475000000000001</v>
      </c>
    </row>
    <row r="259" spans="1:8" x14ac:dyDescent="0.25">
      <c r="A259" s="61" t="s">
        <v>290</v>
      </c>
      <c r="B259" s="61" t="s">
        <v>1292</v>
      </c>
      <c r="C259" s="62">
        <v>22</v>
      </c>
      <c r="D259" s="62" t="s">
        <v>0</v>
      </c>
      <c r="E259" s="62" t="s">
        <v>0</v>
      </c>
      <c r="F259" s="62">
        <v>22.1</v>
      </c>
      <c r="G259" s="63">
        <f>(G84+G85+G133)*0.65%</f>
        <v>22.750000000000004</v>
      </c>
      <c r="H259" s="63">
        <f>(H84+H85+H133)*0.65%</f>
        <v>23.432500000000001</v>
      </c>
    </row>
    <row r="260" spans="1:8" x14ac:dyDescent="0.25">
      <c r="A260" s="61" t="s">
        <v>291</v>
      </c>
      <c r="B260" s="61" t="s">
        <v>292</v>
      </c>
      <c r="C260" s="62">
        <v>109385</v>
      </c>
      <c r="D260" s="62">
        <v>19333</v>
      </c>
      <c r="E260" s="62">
        <v>19333</v>
      </c>
      <c r="F260" s="62">
        <v>101337.84</v>
      </c>
      <c r="G260" s="63">
        <v>19333</v>
      </c>
      <c r="H260" s="63">
        <f>G260+(G260*3%)</f>
        <v>19912.990000000002</v>
      </c>
    </row>
    <row r="261" spans="1:8" x14ac:dyDescent="0.25">
      <c r="A261" s="61" t="s">
        <v>293</v>
      </c>
      <c r="B261" s="61" t="s">
        <v>292</v>
      </c>
      <c r="C261" s="62">
        <v>28</v>
      </c>
      <c r="D261" s="62">
        <v>100</v>
      </c>
      <c r="E261" s="62">
        <v>100</v>
      </c>
      <c r="F261" s="62">
        <v>31.6</v>
      </c>
      <c r="G261" s="63">
        <v>100</v>
      </c>
      <c r="H261" s="63">
        <f t="shared" ref="H261:H297" si="2">G261+(G261*3%)</f>
        <v>103</v>
      </c>
    </row>
    <row r="262" spans="1:8" x14ac:dyDescent="0.25">
      <c r="A262" s="61" t="s">
        <v>294</v>
      </c>
      <c r="B262" s="61" t="s">
        <v>292</v>
      </c>
      <c r="C262" s="62">
        <v>27053</v>
      </c>
      <c r="D262" s="62">
        <v>21846</v>
      </c>
      <c r="E262" s="62">
        <v>21846</v>
      </c>
      <c r="F262" s="62">
        <v>19014.990000000002</v>
      </c>
      <c r="G262" s="63">
        <v>21846</v>
      </c>
      <c r="H262" s="63">
        <f t="shared" si="2"/>
        <v>22501.38</v>
      </c>
    </row>
    <row r="263" spans="1:8" x14ac:dyDescent="0.25">
      <c r="A263" s="61" t="s">
        <v>295</v>
      </c>
      <c r="B263" s="61" t="s">
        <v>292</v>
      </c>
      <c r="C263" s="62">
        <v>8237</v>
      </c>
      <c r="D263" s="62">
        <v>5243</v>
      </c>
      <c r="E263" s="62">
        <v>5243</v>
      </c>
      <c r="F263" s="62">
        <v>9187.7199999999993</v>
      </c>
      <c r="G263" s="63">
        <v>5243</v>
      </c>
      <c r="H263" s="63">
        <f t="shared" si="2"/>
        <v>5400.29</v>
      </c>
    </row>
    <row r="264" spans="1:8" x14ac:dyDescent="0.25">
      <c r="A264" s="61" t="s">
        <v>296</v>
      </c>
      <c r="B264" s="61" t="s">
        <v>292</v>
      </c>
      <c r="C264" s="62">
        <v>2488</v>
      </c>
      <c r="D264" s="62">
        <v>3045</v>
      </c>
      <c r="E264" s="62">
        <v>3045</v>
      </c>
      <c r="F264" s="64">
        <v>-13.89</v>
      </c>
      <c r="G264" s="63">
        <v>3045</v>
      </c>
      <c r="H264" s="63">
        <f t="shared" si="2"/>
        <v>3136.35</v>
      </c>
    </row>
    <row r="265" spans="1:8" x14ac:dyDescent="0.25">
      <c r="A265" s="61" t="s">
        <v>297</v>
      </c>
      <c r="B265" s="61" t="s">
        <v>292</v>
      </c>
      <c r="C265" s="62" t="s">
        <v>0</v>
      </c>
      <c r="D265" s="62">
        <v>10</v>
      </c>
      <c r="E265" s="62">
        <v>10</v>
      </c>
      <c r="F265" s="62" t="s">
        <v>0</v>
      </c>
      <c r="G265" s="63">
        <v>10</v>
      </c>
      <c r="H265" s="63">
        <f t="shared" si="2"/>
        <v>10.3</v>
      </c>
    </row>
    <row r="266" spans="1:8" x14ac:dyDescent="0.25">
      <c r="A266" s="61" t="s">
        <v>298</v>
      </c>
      <c r="B266" s="61" t="s">
        <v>292</v>
      </c>
      <c r="C266" s="62">
        <v>6609</v>
      </c>
      <c r="D266" s="62">
        <v>156</v>
      </c>
      <c r="E266" s="62">
        <v>156</v>
      </c>
      <c r="F266" s="62">
        <v>5904.07</v>
      </c>
      <c r="G266" s="63">
        <v>156</v>
      </c>
      <c r="H266" s="63">
        <f t="shared" si="2"/>
        <v>160.68</v>
      </c>
    </row>
    <row r="267" spans="1:8" x14ac:dyDescent="0.25">
      <c r="A267" s="61" t="s">
        <v>299</v>
      </c>
      <c r="B267" s="61" t="s">
        <v>292</v>
      </c>
      <c r="C267" s="62" t="s">
        <v>0</v>
      </c>
      <c r="D267" s="62">
        <v>1453</v>
      </c>
      <c r="E267" s="62">
        <v>1453</v>
      </c>
      <c r="F267" s="62" t="s">
        <v>0</v>
      </c>
      <c r="G267" s="63">
        <v>1453</v>
      </c>
      <c r="H267" s="63">
        <f t="shared" si="2"/>
        <v>1496.59</v>
      </c>
    </row>
    <row r="268" spans="1:8" x14ac:dyDescent="0.25">
      <c r="A268" s="61" t="s">
        <v>300</v>
      </c>
      <c r="B268" s="61" t="s">
        <v>292</v>
      </c>
      <c r="C268" s="62">
        <v>104418</v>
      </c>
      <c r="D268" s="62">
        <v>79441</v>
      </c>
      <c r="E268" s="62">
        <v>79441</v>
      </c>
      <c r="F268" s="62">
        <v>92028.21</v>
      </c>
      <c r="G268" s="63">
        <v>79441</v>
      </c>
      <c r="H268" s="63">
        <f t="shared" si="2"/>
        <v>81824.23</v>
      </c>
    </row>
    <row r="269" spans="1:8" x14ac:dyDescent="0.25">
      <c r="A269" s="61" t="s">
        <v>301</v>
      </c>
      <c r="B269" s="61" t="s">
        <v>292</v>
      </c>
      <c r="C269" s="62">
        <v>25</v>
      </c>
      <c r="D269" s="62" t="s">
        <v>0</v>
      </c>
      <c r="E269" s="62" t="s">
        <v>0</v>
      </c>
      <c r="F269" s="62" t="s">
        <v>0</v>
      </c>
      <c r="G269" s="63">
        <v>0</v>
      </c>
      <c r="H269" s="63">
        <f t="shared" si="2"/>
        <v>0</v>
      </c>
    </row>
    <row r="270" spans="1:8" x14ac:dyDescent="0.25">
      <c r="A270" s="61" t="s">
        <v>302</v>
      </c>
      <c r="B270" s="61" t="s">
        <v>292</v>
      </c>
      <c r="C270" s="62">
        <v>13539</v>
      </c>
      <c r="D270" s="62">
        <v>6241</v>
      </c>
      <c r="E270" s="62">
        <v>6241</v>
      </c>
      <c r="F270" s="62">
        <v>10787.08</v>
      </c>
      <c r="G270" s="63">
        <v>6241</v>
      </c>
      <c r="H270" s="63">
        <f t="shared" si="2"/>
        <v>6428.23</v>
      </c>
    </row>
    <row r="271" spans="1:8" x14ac:dyDescent="0.25">
      <c r="A271" s="61" t="s">
        <v>303</v>
      </c>
      <c r="B271" s="61" t="s">
        <v>292</v>
      </c>
      <c r="C271" s="62">
        <v>1784</v>
      </c>
      <c r="D271" s="62">
        <v>1902</v>
      </c>
      <c r="E271" s="62">
        <v>1902</v>
      </c>
      <c r="F271" s="62" t="s">
        <v>0</v>
      </c>
      <c r="G271" s="63">
        <v>1902</v>
      </c>
      <c r="H271" s="63">
        <f t="shared" si="2"/>
        <v>1959.06</v>
      </c>
    </row>
    <row r="272" spans="1:8" x14ac:dyDescent="0.25">
      <c r="A272" s="61" t="s">
        <v>304</v>
      </c>
      <c r="B272" s="61" t="s">
        <v>292</v>
      </c>
      <c r="C272" s="62">
        <v>54</v>
      </c>
      <c r="D272" s="62">
        <v>56</v>
      </c>
      <c r="E272" s="62">
        <v>56</v>
      </c>
      <c r="F272" s="62">
        <v>35.46</v>
      </c>
      <c r="G272" s="63">
        <v>56</v>
      </c>
      <c r="H272" s="63">
        <f t="shared" si="2"/>
        <v>57.68</v>
      </c>
    </row>
    <row r="273" spans="1:8" x14ac:dyDescent="0.25">
      <c r="A273" s="61" t="s">
        <v>305</v>
      </c>
      <c r="B273" s="61" t="s">
        <v>292</v>
      </c>
      <c r="C273" s="62">
        <v>50712</v>
      </c>
      <c r="D273" s="62">
        <v>57768</v>
      </c>
      <c r="E273" s="62">
        <v>57768</v>
      </c>
      <c r="F273" s="62">
        <v>1727.52</v>
      </c>
      <c r="G273" s="63">
        <v>0</v>
      </c>
      <c r="H273" s="63">
        <f t="shared" si="2"/>
        <v>0</v>
      </c>
    </row>
    <row r="274" spans="1:8" x14ac:dyDescent="0.25">
      <c r="A274" s="61" t="s">
        <v>306</v>
      </c>
      <c r="B274" s="61" t="s">
        <v>292</v>
      </c>
      <c r="C274" s="62">
        <v>9051</v>
      </c>
      <c r="D274" s="62">
        <v>1496</v>
      </c>
      <c r="E274" s="62">
        <v>1496</v>
      </c>
      <c r="F274" s="62">
        <v>12.16</v>
      </c>
      <c r="G274" s="63">
        <v>0</v>
      </c>
      <c r="H274" s="63">
        <f t="shared" si="2"/>
        <v>0</v>
      </c>
    </row>
    <row r="275" spans="1:8" x14ac:dyDescent="0.25">
      <c r="A275" s="61" t="s">
        <v>307</v>
      </c>
      <c r="B275" s="61" t="s">
        <v>292</v>
      </c>
      <c r="C275" s="62">
        <v>2748</v>
      </c>
      <c r="D275" s="62">
        <v>2460</v>
      </c>
      <c r="E275" s="62">
        <v>2460</v>
      </c>
      <c r="F275" s="62">
        <v>101.8</v>
      </c>
      <c r="G275" s="63">
        <v>0</v>
      </c>
      <c r="H275" s="63">
        <f t="shared" si="2"/>
        <v>0</v>
      </c>
    </row>
    <row r="276" spans="1:8" x14ac:dyDescent="0.25">
      <c r="A276" s="61" t="s">
        <v>308</v>
      </c>
      <c r="B276" s="61" t="s">
        <v>292</v>
      </c>
      <c r="C276" s="62">
        <v>0</v>
      </c>
      <c r="D276" s="62">
        <v>6391</v>
      </c>
      <c r="E276" s="62">
        <v>6391</v>
      </c>
      <c r="F276" s="64">
        <v>-4.76</v>
      </c>
      <c r="G276" s="63">
        <v>0</v>
      </c>
      <c r="H276" s="63">
        <f t="shared" si="2"/>
        <v>0</v>
      </c>
    </row>
    <row r="277" spans="1:8" x14ac:dyDescent="0.25">
      <c r="A277" s="61" t="s">
        <v>309</v>
      </c>
      <c r="B277" s="61" t="s">
        <v>292</v>
      </c>
      <c r="C277" s="62">
        <v>30431</v>
      </c>
      <c r="D277" s="62">
        <v>29291</v>
      </c>
      <c r="E277" s="62">
        <v>29291</v>
      </c>
      <c r="F277" s="64">
        <v>-9.34</v>
      </c>
      <c r="G277" s="63">
        <v>0</v>
      </c>
      <c r="H277" s="63">
        <f t="shared" si="2"/>
        <v>0</v>
      </c>
    </row>
    <row r="278" spans="1:8" x14ac:dyDescent="0.25">
      <c r="A278" s="61" t="s">
        <v>310</v>
      </c>
      <c r="B278" s="61" t="s">
        <v>292</v>
      </c>
      <c r="C278" s="62">
        <v>132008</v>
      </c>
      <c r="D278" s="62">
        <v>105123</v>
      </c>
      <c r="E278" s="62">
        <v>105123</v>
      </c>
      <c r="F278" s="62">
        <v>154095.01</v>
      </c>
      <c r="G278" s="63">
        <v>105123</v>
      </c>
      <c r="H278" s="63">
        <f t="shared" si="2"/>
        <v>108276.69</v>
      </c>
    </row>
    <row r="279" spans="1:8" x14ac:dyDescent="0.25">
      <c r="A279" s="61" t="s">
        <v>311</v>
      </c>
      <c r="B279" s="61" t="s">
        <v>292</v>
      </c>
      <c r="C279" s="62">
        <v>87</v>
      </c>
      <c r="D279" s="62">
        <v>18</v>
      </c>
      <c r="E279" s="62">
        <v>18</v>
      </c>
      <c r="F279" s="62">
        <v>78</v>
      </c>
      <c r="G279" s="63">
        <v>18</v>
      </c>
      <c r="H279" s="63">
        <f t="shared" si="2"/>
        <v>18.54</v>
      </c>
    </row>
    <row r="280" spans="1:8" x14ac:dyDescent="0.25">
      <c r="A280" s="61" t="s">
        <v>312</v>
      </c>
      <c r="B280" s="61" t="s">
        <v>292</v>
      </c>
      <c r="C280" s="62">
        <v>17047</v>
      </c>
      <c r="D280" s="62">
        <v>19665</v>
      </c>
      <c r="E280" s="62">
        <v>19665</v>
      </c>
      <c r="F280" s="62">
        <v>25566.44</v>
      </c>
      <c r="G280" s="63">
        <v>19665</v>
      </c>
      <c r="H280" s="63">
        <f t="shared" si="2"/>
        <v>20254.95</v>
      </c>
    </row>
    <row r="281" spans="1:8" x14ac:dyDescent="0.25">
      <c r="A281" s="61" t="s">
        <v>313</v>
      </c>
      <c r="B281" s="61" t="s">
        <v>292</v>
      </c>
      <c r="C281" s="62">
        <v>11425</v>
      </c>
      <c r="D281" s="62">
        <v>273</v>
      </c>
      <c r="E281" s="62">
        <v>273</v>
      </c>
      <c r="F281" s="62">
        <v>12999.92</v>
      </c>
      <c r="G281" s="63">
        <v>273</v>
      </c>
      <c r="H281" s="63">
        <f t="shared" si="2"/>
        <v>281.19</v>
      </c>
    </row>
    <row r="282" spans="1:8" x14ac:dyDescent="0.25">
      <c r="A282" s="61" t="s">
        <v>314</v>
      </c>
      <c r="B282" s="61" t="s">
        <v>292</v>
      </c>
      <c r="C282" s="62">
        <v>72</v>
      </c>
      <c r="D282" s="62">
        <v>1535</v>
      </c>
      <c r="E282" s="62">
        <v>1535</v>
      </c>
      <c r="F282" s="62" t="s">
        <v>0</v>
      </c>
      <c r="G282" s="63">
        <v>1535</v>
      </c>
      <c r="H282" s="63">
        <f t="shared" si="2"/>
        <v>1581.05</v>
      </c>
    </row>
    <row r="283" spans="1:8" x14ac:dyDescent="0.25">
      <c r="A283" s="61" t="s">
        <v>315</v>
      </c>
      <c r="B283" s="61" t="s">
        <v>292</v>
      </c>
      <c r="C283" s="62" t="s">
        <v>0</v>
      </c>
      <c r="D283" s="62" t="s">
        <v>0</v>
      </c>
      <c r="E283" s="62" t="s">
        <v>0</v>
      </c>
      <c r="F283" s="62">
        <v>12262.67</v>
      </c>
      <c r="G283" s="63">
        <v>0</v>
      </c>
      <c r="H283" s="63">
        <f t="shared" si="2"/>
        <v>0</v>
      </c>
    </row>
    <row r="284" spans="1:8" x14ac:dyDescent="0.25">
      <c r="A284" s="61" t="s">
        <v>316</v>
      </c>
      <c r="B284" s="61" t="s">
        <v>292</v>
      </c>
      <c r="C284" s="62">
        <v>79209</v>
      </c>
      <c r="D284" s="62">
        <v>112979</v>
      </c>
      <c r="E284" s="62">
        <v>112979</v>
      </c>
      <c r="F284" s="62">
        <v>56534.95</v>
      </c>
      <c r="G284" s="63">
        <v>112979</v>
      </c>
      <c r="H284" s="63">
        <f t="shared" si="2"/>
        <v>116368.37</v>
      </c>
    </row>
    <row r="285" spans="1:8" x14ac:dyDescent="0.25">
      <c r="A285" s="61" t="s">
        <v>317</v>
      </c>
      <c r="B285" s="61" t="s">
        <v>292</v>
      </c>
      <c r="C285" s="62">
        <v>86</v>
      </c>
      <c r="D285" s="62">
        <v>64</v>
      </c>
      <c r="E285" s="62">
        <v>64</v>
      </c>
      <c r="F285" s="62">
        <v>60.5</v>
      </c>
      <c r="G285" s="63">
        <v>64</v>
      </c>
      <c r="H285" s="63">
        <f t="shared" si="2"/>
        <v>65.92</v>
      </c>
    </row>
    <row r="286" spans="1:8" x14ac:dyDescent="0.25">
      <c r="A286" s="61" t="s">
        <v>318</v>
      </c>
      <c r="B286" s="61" t="s">
        <v>292</v>
      </c>
      <c r="C286" s="62">
        <v>11873</v>
      </c>
      <c r="D286" s="62">
        <v>7993</v>
      </c>
      <c r="E286" s="62">
        <v>7993</v>
      </c>
      <c r="F286" s="62">
        <v>11094.55</v>
      </c>
      <c r="G286" s="63">
        <v>7993</v>
      </c>
      <c r="H286" s="63">
        <f t="shared" si="2"/>
        <v>8232.7900000000009</v>
      </c>
    </row>
    <row r="287" spans="1:8" x14ac:dyDescent="0.25">
      <c r="A287" s="61" t="s">
        <v>319</v>
      </c>
      <c r="B287" s="61" t="s">
        <v>292</v>
      </c>
      <c r="C287" s="62">
        <v>508</v>
      </c>
      <c r="D287" s="62">
        <v>209</v>
      </c>
      <c r="E287" s="62">
        <v>209</v>
      </c>
      <c r="F287" s="62">
        <v>3419.96</v>
      </c>
      <c r="G287" s="63">
        <v>209</v>
      </c>
      <c r="H287" s="63">
        <f t="shared" si="2"/>
        <v>215.27</v>
      </c>
    </row>
    <row r="288" spans="1:8" x14ac:dyDescent="0.25">
      <c r="A288" s="61" t="s">
        <v>320</v>
      </c>
      <c r="B288" s="61" t="s">
        <v>292</v>
      </c>
      <c r="C288" s="62" t="s">
        <v>0</v>
      </c>
      <c r="D288" s="62">
        <v>2562</v>
      </c>
      <c r="E288" s="62">
        <v>2562</v>
      </c>
      <c r="F288" s="62" t="s">
        <v>0</v>
      </c>
      <c r="G288" s="63">
        <v>2562</v>
      </c>
      <c r="H288" s="63">
        <f t="shared" si="2"/>
        <v>2638.86</v>
      </c>
    </row>
    <row r="289" spans="1:8" x14ac:dyDescent="0.25">
      <c r="A289" s="61" t="s">
        <v>321</v>
      </c>
      <c r="B289" s="61" t="s">
        <v>292</v>
      </c>
      <c r="C289" s="62" t="s">
        <v>0</v>
      </c>
      <c r="D289" s="62" t="s">
        <v>0</v>
      </c>
      <c r="E289" s="62" t="s">
        <v>0</v>
      </c>
      <c r="F289" s="62">
        <v>5993.89</v>
      </c>
      <c r="G289" s="63">
        <v>0</v>
      </c>
      <c r="H289" s="63">
        <f t="shared" si="2"/>
        <v>0</v>
      </c>
    </row>
    <row r="290" spans="1:8" x14ac:dyDescent="0.25">
      <c r="A290" s="61" t="s">
        <v>322</v>
      </c>
      <c r="B290" s="61" t="s">
        <v>292</v>
      </c>
      <c r="C290" s="62">
        <v>30478</v>
      </c>
      <c r="D290" s="62">
        <v>3859</v>
      </c>
      <c r="E290" s="62">
        <v>3859</v>
      </c>
      <c r="F290" s="62" t="s">
        <v>0</v>
      </c>
      <c r="G290" s="63">
        <v>3859</v>
      </c>
      <c r="H290" s="63">
        <f t="shared" si="2"/>
        <v>3974.77</v>
      </c>
    </row>
    <row r="291" spans="1:8" x14ac:dyDescent="0.25">
      <c r="A291" s="61" t="s">
        <v>323</v>
      </c>
      <c r="B291" s="61" t="s">
        <v>1293</v>
      </c>
      <c r="C291" s="62" t="s">
        <v>0</v>
      </c>
      <c r="D291" s="62">
        <v>312</v>
      </c>
      <c r="E291" s="62">
        <v>312</v>
      </c>
      <c r="F291" s="62" t="s">
        <v>0</v>
      </c>
      <c r="G291" s="63">
        <v>312</v>
      </c>
      <c r="H291" s="63">
        <f t="shared" si="2"/>
        <v>321.36</v>
      </c>
    </row>
    <row r="292" spans="1:8" x14ac:dyDescent="0.25">
      <c r="A292" s="61" t="s">
        <v>324</v>
      </c>
      <c r="B292" s="61" t="s">
        <v>1293</v>
      </c>
      <c r="C292" s="62" t="s">
        <v>0</v>
      </c>
      <c r="D292" s="62">
        <v>78</v>
      </c>
      <c r="E292" s="62">
        <v>78</v>
      </c>
      <c r="F292" s="62" t="s">
        <v>0</v>
      </c>
      <c r="G292" s="63">
        <v>78</v>
      </c>
      <c r="H292" s="63">
        <f t="shared" si="2"/>
        <v>80.34</v>
      </c>
    </row>
    <row r="293" spans="1:8" x14ac:dyDescent="0.25">
      <c r="A293" s="61" t="s">
        <v>325</v>
      </c>
      <c r="B293" s="61" t="s">
        <v>1294</v>
      </c>
      <c r="C293" s="62">
        <v>665</v>
      </c>
      <c r="D293" s="62" t="s">
        <v>0</v>
      </c>
      <c r="E293" s="62" t="s">
        <v>0</v>
      </c>
      <c r="F293" s="62">
        <v>975.83</v>
      </c>
      <c r="G293" s="63">
        <v>0</v>
      </c>
      <c r="H293" s="63">
        <f t="shared" si="2"/>
        <v>0</v>
      </c>
    </row>
    <row r="294" spans="1:8" x14ac:dyDescent="0.25">
      <c r="A294" s="61" t="s">
        <v>326</v>
      </c>
      <c r="B294" s="61" t="s">
        <v>1294</v>
      </c>
      <c r="C294" s="62">
        <v>399</v>
      </c>
      <c r="D294" s="62" t="s">
        <v>0</v>
      </c>
      <c r="E294" s="62" t="s">
        <v>0</v>
      </c>
      <c r="F294" s="62">
        <v>30.13</v>
      </c>
      <c r="G294" s="63">
        <v>0</v>
      </c>
      <c r="H294" s="63">
        <f t="shared" si="2"/>
        <v>0</v>
      </c>
    </row>
    <row r="295" spans="1:8" x14ac:dyDescent="0.25">
      <c r="A295" s="61" t="s">
        <v>327</v>
      </c>
      <c r="B295" s="61" t="s">
        <v>1295</v>
      </c>
      <c r="C295" s="62">
        <v>75</v>
      </c>
      <c r="D295" s="62">
        <v>585</v>
      </c>
      <c r="E295" s="62">
        <v>585</v>
      </c>
      <c r="F295" s="62" t="s">
        <v>0</v>
      </c>
      <c r="G295" s="63">
        <v>585</v>
      </c>
      <c r="H295" s="63">
        <f t="shared" si="2"/>
        <v>602.54999999999995</v>
      </c>
    </row>
    <row r="296" spans="1:8" x14ac:dyDescent="0.25">
      <c r="A296" s="61" t="s">
        <v>328</v>
      </c>
      <c r="B296" s="61" t="s">
        <v>1296</v>
      </c>
      <c r="C296" s="62">
        <v>143</v>
      </c>
      <c r="D296" s="62" t="s">
        <v>0</v>
      </c>
      <c r="E296" s="62" t="s">
        <v>0</v>
      </c>
      <c r="F296" s="62">
        <v>397.81</v>
      </c>
      <c r="G296" s="63">
        <v>0</v>
      </c>
      <c r="H296" s="63">
        <f t="shared" si="2"/>
        <v>0</v>
      </c>
    </row>
    <row r="297" spans="1:8" x14ac:dyDescent="0.25">
      <c r="A297" s="61" t="s">
        <v>329</v>
      </c>
      <c r="B297" s="61" t="s">
        <v>1297</v>
      </c>
      <c r="C297" s="62">
        <v>231</v>
      </c>
      <c r="D297" s="62" t="s">
        <v>0</v>
      </c>
      <c r="E297" s="62" t="s">
        <v>0</v>
      </c>
      <c r="F297" s="62">
        <v>185.14</v>
      </c>
      <c r="G297" s="63">
        <v>0</v>
      </c>
      <c r="H297" s="63">
        <f t="shared" si="2"/>
        <v>0</v>
      </c>
    </row>
    <row r="298" spans="1:8" x14ac:dyDescent="0.25">
      <c r="A298" s="61" t="s">
        <v>330</v>
      </c>
      <c r="B298" s="61" t="s">
        <v>331</v>
      </c>
      <c r="C298" s="62">
        <v>77603</v>
      </c>
      <c r="D298" s="62">
        <v>18254</v>
      </c>
      <c r="E298" s="62">
        <v>18254</v>
      </c>
      <c r="F298" s="62">
        <v>67581.990000000005</v>
      </c>
      <c r="G298" s="63">
        <f>(G28+G50+G86+G100+G102+G116)*0.75%</f>
        <v>15404.957999999999</v>
      </c>
      <c r="H298" s="63">
        <f>(H28+H50+H86+H100+H102+H116)*0.75%</f>
        <v>15834.189239999998</v>
      </c>
    </row>
    <row r="299" spans="1:8" x14ac:dyDescent="0.25">
      <c r="A299" s="61" t="s">
        <v>332</v>
      </c>
      <c r="B299" s="61" t="s">
        <v>331</v>
      </c>
      <c r="C299" s="62">
        <v>28</v>
      </c>
      <c r="D299" s="62">
        <v>48</v>
      </c>
      <c r="E299" s="62">
        <v>48</v>
      </c>
      <c r="F299" s="62">
        <v>12.65</v>
      </c>
      <c r="G299" s="63">
        <v>0</v>
      </c>
      <c r="H299" s="63">
        <v>1</v>
      </c>
    </row>
    <row r="300" spans="1:8" x14ac:dyDescent="0.25">
      <c r="A300" s="61" t="s">
        <v>333</v>
      </c>
      <c r="B300" s="61" t="s">
        <v>331</v>
      </c>
      <c r="C300" s="62">
        <v>11439</v>
      </c>
      <c r="D300" s="62">
        <v>10529</v>
      </c>
      <c r="E300" s="62">
        <v>10529</v>
      </c>
      <c r="F300" s="62">
        <v>9216.81</v>
      </c>
      <c r="G300" s="63">
        <f>(G29+G52)*0.75%</f>
        <v>2003.6105250000001</v>
      </c>
      <c r="H300" s="63">
        <f>(H29+H52)*0.75%</f>
        <v>2062.931325</v>
      </c>
    </row>
    <row r="301" spans="1:8" x14ac:dyDescent="0.25">
      <c r="A301" s="61" t="s">
        <v>334</v>
      </c>
      <c r="B301" s="61" t="s">
        <v>331</v>
      </c>
      <c r="C301" s="62" t="s">
        <v>0</v>
      </c>
      <c r="D301" s="62">
        <v>3</v>
      </c>
      <c r="E301" s="62">
        <v>3</v>
      </c>
      <c r="F301" s="62" t="s">
        <v>0</v>
      </c>
      <c r="G301" s="63">
        <v>0</v>
      </c>
      <c r="H301" s="63">
        <v>1</v>
      </c>
    </row>
    <row r="302" spans="1:8" x14ac:dyDescent="0.25">
      <c r="A302" s="61" t="s">
        <v>335</v>
      </c>
      <c r="B302" s="61" t="s">
        <v>331</v>
      </c>
      <c r="C302" s="62">
        <v>3305</v>
      </c>
      <c r="D302" s="62">
        <v>2960</v>
      </c>
      <c r="E302" s="62">
        <v>2960</v>
      </c>
      <c r="F302" s="62">
        <v>4868.7299999999996</v>
      </c>
      <c r="G302" s="63">
        <f>(G30+G53+G87+G117)*0.75%</f>
        <v>786.08812499999999</v>
      </c>
      <c r="H302" s="63">
        <f>(H30+H53+H87+H117)*0.75%</f>
        <v>809.67076874999998</v>
      </c>
    </row>
    <row r="303" spans="1:8" x14ac:dyDescent="0.25">
      <c r="A303" s="61" t="s">
        <v>336</v>
      </c>
      <c r="B303" s="61" t="s">
        <v>331</v>
      </c>
      <c r="C303" s="62">
        <v>1079</v>
      </c>
      <c r="D303" s="62">
        <v>1249</v>
      </c>
      <c r="E303" s="62">
        <v>1249</v>
      </c>
      <c r="F303" s="64">
        <v>-5.27</v>
      </c>
      <c r="G303" s="63">
        <f>(G31+G54)*0.75%</f>
        <v>0</v>
      </c>
      <c r="H303" s="63">
        <f>(H31+H54)*0.75%</f>
        <v>0</v>
      </c>
    </row>
    <row r="304" spans="1:8" x14ac:dyDescent="0.25">
      <c r="A304" s="61" t="s">
        <v>337</v>
      </c>
      <c r="B304" s="61" t="s">
        <v>331</v>
      </c>
      <c r="C304" s="62">
        <v>21</v>
      </c>
      <c r="D304" s="62">
        <v>88</v>
      </c>
      <c r="E304" s="62">
        <v>88</v>
      </c>
      <c r="F304" s="62" t="s">
        <v>0</v>
      </c>
      <c r="G304" s="63">
        <f>G55*0.75%</f>
        <v>7.5</v>
      </c>
      <c r="H304" s="63">
        <f>H55*0.75%</f>
        <v>7.5</v>
      </c>
    </row>
    <row r="305" spans="1:8" x14ac:dyDescent="0.25">
      <c r="A305" s="61" t="s">
        <v>338</v>
      </c>
      <c r="B305" s="61" t="s">
        <v>331</v>
      </c>
      <c r="C305" s="62">
        <v>3098</v>
      </c>
      <c r="D305" s="62" t="s">
        <v>0</v>
      </c>
      <c r="E305" s="62" t="s">
        <v>0</v>
      </c>
      <c r="F305" s="62">
        <v>2623.29</v>
      </c>
      <c r="G305" s="63">
        <f>(G32+G56)*0.75%</f>
        <v>387.39749999999998</v>
      </c>
      <c r="H305" s="63">
        <f>(H32+H56)*0.75%</f>
        <v>399.01942499999996</v>
      </c>
    </row>
    <row r="306" spans="1:8" x14ac:dyDescent="0.25">
      <c r="A306" s="61" t="s">
        <v>339</v>
      </c>
      <c r="B306" s="61" t="s">
        <v>331</v>
      </c>
      <c r="C306" s="62" t="s">
        <v>0</v>
      </c>
      <c r="D306" s="62">
        <v>382</v>
      </c>
      <c r="E306" s="62">
        <v>382</v>
      </c>
      <c r="F306" s="62" t="s">
        <v>0</v>
      </c>
      <c r="G306" s="63">
        <v>0</v>
      </c>
      <c r="H306" s="63">
        <v>1</v>
      </c>
    </row>
    <row r="307" spans="1:8" x14ac:dyDescent="0.25">
      <c r="A307" s="61" t="s">
        <v>340</v>
      </c>
      <c r="B307" s="61" t="s">
        <v>331</v>
      </c>
      <c r="C307" s="62">
        <v>64211</v>
      </c>
      <c r="D307" s="62">
        <v>48582</v>
      </c>
      <c r="E307" s="62">
        <v>48582</v>
      </c>
      <c r="F307" s="62">
        <v>50509.75</v>
      </c>
      <c r="G307" s="63">
        <f>(G33+G57+G88+G103+G118)*0.75%</f>
        <v>12360.437249999999</v>
      </c>
      <c r="H307" s="63">
        <f>(H33+H57+H88+H103+H118)*0.75%</f>
        <v>12713.025386249999</v>
      </c>
    </row>
    <row r="308" spans="1:8" x14ac:dyDescent="0.25">
      <c r="A308" s="61" t="s">
        <v>341</v>
      </c>
      <c r="B308" s="61" t="s">
        <v>331</v>
      </c>
      <c r="C308" s="62">
        <v>15</v>
      </c>
      <c r="D308" s="62" t="s">
        <v>0</v>
      </c>
      <c r="E308" s="62" t="s">
        <v>0</v>
      </c>
      <c r="F308" s="62" t="s">
        <v>0</v>
      </c>
      <c r="G308" s="63">
        <f>G58*0.75%</f>
        <v>0</v>
      </c>
      <c r="H308" s="63">
        <f>H58*0.75%</f>
        <v>0</v>
      </c>
    </row>
    <row r="309" spans="1:8" x14ac:dyDescent="0.25">
      <c r="A309" s="61" t="s">
        <v>342</v>
      </c>
      <c r="B309" s="61" t="s">
        <v>331</v>
      </c>
      <c r="C309" s="62" t="s">
        <v>0</v>
      </c>
      <c r="D309" s="62">
        <v>3</v>
      </c>
      <c r="E309" s="62">
        <v>3</v>
      </c>
      <c r="F309" s="62" t="s">
        <v>0</v>
      </c>
      <c r="G309" s="63">
        <v>0</v>
      </c>
      <c r="H309" s="63">
        <v>1</v>
      </c>
    </row>
    <row r="310" spans="1:8" x14ac:dyDescent="0.25">
      <c r="A310" s="61" t="s">
        <v>343</v>
      </c>
      <c r="B310" s="61" t="s">
        <v>331</v>
      </c>
      <c r="C310" s="62">
        <v>5245</v>
      </c>
      <c r="D310" s="62">
        <v>3090</v>
      </c>
      <c r="E310" s="62">
        <v>3090</v>
      </c>
      <c r="F310" s="62">
        <v>4583.41</v>
      </c>
      <c r="G310" s="63">
        <f>(G34+G59+G89+G104+G119)*0.75%</f>
        <v>1921.0842749999997</v>
      </c>
      <c r="H310" s="63">
        <f>(H34+H59+H89+H104+H119)*0.75%</f>
        <v>1977.8017889999999</v>
      </c>
    </row>
    <row r="311" spans="1:8" x14ac:dyDescent="0.25">
      <c r="A311" s="61" t="s">
        <v>344</v>
      </c>
      <c r="B311" s="61" t="s">
        <v>331</v>
      </c>
      <c r="C311" s="62">
        <v>795</v>
      </c>
      <c r="D311" s="62">
        <v>716</v>
      </c>
      <c r="E311" s="62">
        <v>716</v>
      </c>
      <c r="F311" s="62" t="s">
        <v>0</v>
      </c>
      <c r="G311" s="63">
        <f>(G35+G60)*0.75%</f>
        <v>0</v>
      </c>
      <c r="H311" s="63">
        <f>(H35+H60)*0.75%</f>
        <v>0</v>
      </c>
    </row>
    <row r="312" spans="1:8" x14ac:dyDescent="0.25">
      <c r="A312" s="61" t="s">
        <v>345</v>
      </c>
      <c r="B312" s="61" t="s">
        <v>331</v>
      </c>
      <c r="C312" s="62">
        <v>40</v>
      </c>
      <c r="D312" s="62">
        <v>38</v>
      </c>
      <c r="E312" s="62">
        <v>38</v>
      </c>
      <c r="F312" s="62">
        <v>28.4</v>
      </c>
      <c r="G312" s="63">
        <f>G61*0.75%</f>
        <v>0</v>
      </c>
      <c r="H312" s="63">
        <f>H61*0.75%</f>
        <v>0</v>
      </c>
    </row>
    <row r="313" spans="1:8" x14ac:dyDescent="0.25">
      <c r="A313" s="61" t="s">
        <v>346</v>
      </c>
      <c r="B313" s="61" t="s">
        <v>331</v>
      </c>
      <c r="C313" s="62">
        <v>20685</v>
      </c>
      <c r="D313" s="62">
        <v>24956</v>
      </c>
      <c r="E313" s="62">
        <v>24956</v>
      </c>
      <c r="F313" s="62">
        <v>955.5</v>
      </c>
      <c r="G313" s="63">
        <v>0</v>
      </c>
      <c r="H313" s="63">
        <v>0</v>
      </c>
    </row>
    <row r="314" spans="1:8" x14ac:dyDescent="0.25">
      <c r="A314" s="61" t="s">
        <v>347</v>
      </c>
      <c r="B314" s="61" t="s">
        <v>331</v>
      </c>
      <c r="C314" s="62" t="s">
        <v>0</v>
      </c>
      <c r="D314" s="62">
        <v>5</v>
      </c>
      <c r="E314" s="62">
        <v>5</v>
      </c>
      <c r="F314" s="62" t="s">
        <v>0</v>
      </c>
      <c r="G314" s="63">
        <v>0</v>
      </c>
      <c r="H314" s="63">
        <v>0</v>
      </c>
    </row>
    <row r="315" spans="1:8" x14ac:dyDescent="0.25">
      <c r="A315" s="61" t="s">
        <v>348</v>
      </c>
      <c r="B315" s="61" t="s">
        <v>331</v>
      </c>
      <c r="C315" s="62">
        <v>4096</v>
      </c>
      <c r="D315" s="62">
        <v>1373</v>
      </c>
      <c r="E315" s="62">
        <v>1373</v>
      </c>
      <c r="F315" s="62">
        <v>80.319999999999993</v>
      </c>
      <c r="G315" s="63">
        <v>0</v>
      </c>
      <c r="H315" s="63">
        <v>0</v>
      </c>
    </row>
    <row r="316" spans="1:8" x14ac:dyDescent="0.25">
      <c r="A316" s="61" t="s">
        <v>349</v>
      </c>
      <c r="B316" s="61" t="s">
        <v>331</v>
      </c>
      <c r="C316" s="62">
        <v>1079</v>
      </c>
      <c r="D316" s="62">
        <v>1021</v>
      </c>
      <c r="E316" s="62">
        <v>1021</v>
      </c>
      <c r="F316" s="62">
        <v>56.16</v>
      </c>
      <c r="G316" s="63">
        <v>0</v>
      </c>
      <c r="H316" s="63">
        <v>0</v>
      </c>
    </row>
    <row r="317" spans="1:8" x14ac:dyDescent="0.25">
      <c r="A317" s="61" t="s">
        <v>350</v>
      </c>
      <c r="B317" s="61" t="s">
        <v>331</v>
      </c>
      <c r="C317" s="62">
        <v>0</v>
      </c>
      <c r="D317" s="62">
        <v>4051</v>
      </c>
      <c r="E317" s="62">
        <v>4051</v>
      </c>
      <c r="F317" s="64">
        <v>-1.25</v>
      </c>
      <c r="G317" s="63">
        <v>0</v>
      </c>
      <c r="H317" s="63">
        <v>0</v>
      </c>
    </row>
    <row r="318" spans="1:8" x14ac:dyDescent="0.25">
      <c r="A318" s="61" t="s">
        <v>351</v>
      </c>
      <c r="B318" s="61" t="s">
        <v>331</v>
      </c>
      <c r="C318" s="62">
        <v>11138</v>
      </c>
      <c r="D318" s="62">
        <v>11249</v>
      </c>
      <c r="E318" s="62">
        <v>11249</v>
      </c>
      <c r="F318" s="64">
        <v>-2.73</v>
      </c>
      <c r="G318" s="63">
        <v>0</v>
      </c>
      <c r="H318" s="63">
        <v>0</v>
      </c>
    </row>
    <row r="319" spans="1:8" x14ac:dyDescent="0.25">
      <c r="A319" s="61" t="s">
        <v>352</v>
      </c>
      <c r="B319" s="61" t="s">
        <v>331</v>
      </c>
      <c r="C319" s="62">
        <v>61403</v>
      </c>
      <c r="D319" s="62">
        <v>58004</v>
      </c>
      <c r="E319" s="62">
        <v>58004</v>
      </c>
      <c r="F319" s="62">
        <v>64170.35</v>
      </c>
      <c r="G319" s="63">
        <f>(G40+G66+G93+G108+G124)*0.75%</f>
        <v>17521.999650000002</v>
      </c>
      <c r="H319" s="63">
        <f>(H40+H66+H93+H108+H124)*0.75%</f>
        <v>18038.749616999998</v>
      </c>
    </row>
    <row r="320" spans="1:8" x14ac:dyDescent="0.25">
      <c r="A320" s="61" t="s">
        <v>353</v>
      </c>
      <c r="B320" s="61" t="s">
        <v>331</v>
      </c>
      <c r="C320" s="62">
        <v>34</v>
      </c>
      <c r="D320" s="62">
        <v>6</v>
      </c>
      <c r="E320" s="62">
        <v>6</v>
      </c>
      <c r="F320" s="62">
        <v>32.03</v>
      </c>
      <c r="G320" s="63">
        <f>G67*0.75%</f>
        <v>7.5</v>
      </c>
      <c r="H320" s="63">
        <f>H67*0.75%</f>
        <v>7.5</v>
      </c>
    </row>
    <row r="321" spans="1:8" x14ac:dyDescent="0.25">
      <c r="A321" s="61" t="s">
        <v>354</v>
      </c>
      <c r="B321" s="61" t="s">
        <v>331</v>
      </c>
      <c r="C321" s="62" t="s">
        <v>0</v>
      </c>
      <c r="D321" s="62">
        <v>6</v>
      </c>
      <c r="E321" s="62">
        <v>6</v>
      </c>
      <c r="F321" s="62" t="s">
        <v>0</v>
      </c>
      <c r="G321" s="63">
        <v>0</v>
      </c>
      <c r="H321" s="63">
        <v>1</v>
      </c>
    </row>
    <row r="322" spans="1:8" x14ac:dyDescent="0.25">
      <c r="A322" s="61" t="s">
        <v>355</v>
      </c>
      <c r="B322" s="61" t="s">
        <v>331</v>
      </c>
      <c r="C322" s="62">
        <v>7917</v>
      </c>
      <c r="D322" s="62">
        <v>8629</v>
      </c>
      <c r="E322" s="62">
        <v>8629</v>
      </c>
      <c r="F322" s="62">
        <v>9451.6299999999992</v>
      </c>
      <c r="G322" s="63">
        <f>(G41+G68+G95+G109+G125)*0.75%</f>
        <v>2702.3819999999996</v>
      </c>
      <c r="H322" s="63">
        <f>(H41+H68+H95+H109+H125)*0.75%</f>
        <v>2781.8784539999997</v>
      </c>
    </row>
    <row r="323" spans="1:8" x14ac:dyDescent="0.25">
      <c r="A323" s="61" t="s">
        <v>356</v>
      </c>
      <c r="B323" s="61" t="s">
        <v>331</v>
      </c>
      <c r="C323" s="62">
        <v>4617</v>
      </c>
      <c r="D323" s="62">
        <v>114</v>
      </c>
      <c r="E323" s="62">
        <v>114</v>
      </c>
      <c r="F323" s="62">
        <v>5648.95</v>
      </c>
      <c r="G323" s="63">
        <f>(G42+G69)*0.75%</f>
        <v>1519.985625</v>
      </c>
      <c r="H323" s="63">
        <f>(H42+H69)*0.75%</f>
        <v>1560.860175</v>
      </c>
    </row>
    <row r="324" spans="1:8" x14ac:dyDescent="0.25">
      <c r="A324" s="61" t="s">
        <v>357</v>
      </c>
      <c r="B324" s="61" t="s">
        <v>331</v>
      </c>
      <c r="C324" s="62">
        <v>19</v>
      </c>
      <c r="D324" s="62">
        <v>404</v>
      </c>
      <c r="E324" s="62">
        <v>404</v>
      </c>
      <c r="F324" s="62" t="s">
        <v>0</v>
      </c>
      <c r="G324" s="63">
        <f>(G109+G126)*0.75%</f>
        <v>7.5</v>
      </c>
      <c r="H324" s="63">
        <f>(H109+H126)*0.75%</f>
        <v>7.5</v>
      </c>
    </row>
    <row r="325" spans="1:8" x14ac:dyDescent="0.25">
      <c r="A325" s="61" t="s">
        <v>358</v>
      </c>
      <c r="B325" s="61" t="s">
        <v>331</v>
      </c>
      <c r="C325" s="62" t="s">
        <v>0</v>
      </c>
      <c r="D325" s="62" t="s">
        <v>0</v>
      </c>
      <c r="E325" s="62" t="s">
        <v>0</v>
      </c>
      <c r="F325" s="62">
        <v>4514.4399999999996</v>
      </c>
      <c r="G325" s="63">
        <v>0</v>
      </c>
      <c r="H325" s="63">
        <v>1</v>
      </c>
    </row>
    <row r="326" spans="1:8" x14ac:dyDescent="0.25">
      <c r="A326" s="61" t="s">
        <v>359</v>
      </c>
      <c r="B326" s="61" t="s">
        <v>331</v>
      </c>
      <c r="C326" s="62">
        <v>36304</v>
      </c>
      <c r="D326" s="62">
        <v>56590</v>
      </c>
      <c r="E326" s="62">
        <v>56590</v>
      </c>
      <c r="F326" s="62">
        <v>29331.74</v>
      </c>
      <c r="G326" s="63">
        <f>(G44+G71+G97+G112+G128)*0.75%</f>
        <v>8021.5897500000001</v>
      </c>
      <c r="H326" s="63">
        <f>(H44+H71+H97+H112+H128)*0.75%</f>
        <v>8253.518729999998</v>
      </c>
    </row>
    <row r="327" spans="1:8" x14ac:dyDescent="0.25">
      <c r="A327" s="61" t="s">
        <v>360</v>
      </c>
      <c r="B327" s="61" t="s">
        <v>331</v>
      </c>
      <c r="C327" s="62">
        <v>32</v>
      </c>
      <c r="D327" s="62">
        <v>31</v>
      </c>
      <c r="E327" s="62">
        <v>31</v>
      </c>
      <c r="F327" s="62">
        <v>26.95</v>
      </c>
      <c r="G327" s="63">
        <f>G72*0.75%</f>
        <v>5.625</v>
      </c>
      <c r="H327" s="63">
        <f>H72*0.75%</f>
        <v>5.625</v>
      </c>
    </row>
    <row r="328" spans="1:8" x14ac:dyDescent="0.25">
      <c r="A328" s="61" t="s">
        <v>361</v>
      </c>
      <c r="B328" s="61" t="s">
        <v>331</v>
      </c>
      <c r="C328" s="62" t="s">
        <v>0</v>
      </c>
      <c r="D328" s="62">
        <v>6</v>
      </c>
      <c r="E328" s="62">
        <v>6</v>
      </c>
      <c r="F328" s="62" t="s">
        <v>0</v>
      </c>
      <c r="G328" s="63">
        <v>0</v>
      </c>
      <c r="H328" s="63">
        <v>1</v>
      </c>
    </row>
    <row r="329" spans="1:8" x14ac:dyDescent="0.25">
      <c r="A329" s="61" t="s">
        <v>362</v>
      </c>
      <c r="B329" s="61" t="s">
        <v>331</v>
      </c>
      <c r="C329" s="62">
        <v>3876</v>
      </c>
      <c r="D329" s="62">
        <v>4092</v>
      </c>
      <c r="E329" s="62">
        <v>4092</v>
      </c>
      <c r="F329" s="62">
        <v>4524.5600000000004</v>
      </c>
      <c r="G329" s="63">
        <f>(G45+G73+G98+G113+G129)*0.75%</f>
        <v>1435.2753750000002</v>
      </c>
      <c r="H329" s="63">
        <f>(H45+H73+H98+H113+H129)*0.75%</f>
        <v>1477.4336362500001</v>
      </c>
    </row>
    <row r="330" spans="1:8" x14ac:dyDescent="0.25">
      <c r="A330" s="61" t="s">
        <v>363</v>
      </c>
      <c r="B330" s="61" t="s">
        <v>331</v>
      </c>
      <c r="C330" s="62">
        <v>214</v>
      </c>
      <c r="D330" s="62">
        <v>398</v>
      </c>
      <c r="E330" s="62">
        <v>398</v>
      </c>
      <c r="F330" s="62">
        <v>1236.31</v>
      </c>
      <c r="G330" s="63">
        <f>(G46+G74)*0.75%</f>
        <v>30</v>
      </c>
      <c r="H330" s="63">
        <f>(H46+H74)*0.75%</f>
        <v>24.375</v>
      </c>
    </row>
    <row r="331" spans="1:8" x14ac:dyDescent="0.25">
      <c r="A331" s="61" t="s">
        <v>364</v>
      </c>
      <c r="B331" s="61" t="s">
        <v>331</v>
      </c>
      <c r="C331" s="62" t="s">
        <v>0</v>
      </c>
      <c r="D331" s="62">
        <v>673</v>
      </c>
      <c r="E331" s="62">
        <v>673</v>
      </c>
      <c r="F331" s="62" t="s">
        <v>0</v>
      </c>
      <c r="G331" s="63">
        <f>G114*0.75%</f>
        <v>7.5</v>
      </c>
      <c r="H331" s="63">
        <f>H114*0.75%</f>
        <v>7.5</v>
      </c>
    </row>
    <row r="332" spans="1:8" x14ac:dyDescent="0.25">
      <c r="A332" s="61" t="s">
        <v>365</v>
      </c>
      <c r="B332" s="61" t="s">
        <v>331</v>
      </c>
      <c r="C332" s="62">
        <v>144</v>
      </c>
      <c r="D332" s="62" t="s">
        <v>0</v>
      </c>
      <c r="E332" s="62" t="s">
        <v>0</v>
      </c>
      <c r="F332" s="62">
        <v>150.21</v>
      </c>
      <c r="G332" s="63">
        <v>0</v>
      </c>
      <c r="H332" s="63">
        <v>0</v>
      </c>
    </row>
    <row r="333" spans="1:8" x14ac:dyDescent="0.25">
      <c r="A333" s="61" t="s">
        <v>366</v>
      </c>
      <c r="B333" s="61" t="s">
        <v>331</v>
      </c>
      <c r="C333" s="62" t="s">
        <v>0</v>
      </c>
      <c r="D333" s="62" t="s">
        <v>0</v>
      </c>
      <c r="E333" s="62" t="s">
        <v>0</v>
      </c>
      <c r="F333" s="62">
        <v>1670.57</v>
      </c>
      <c r="G333" s="63">
        <v>0</v>
      </c>
      <c r="H333" s="63">
        <v>0</v>
      </c>
    </row>
    <row r="334" spans="1:8" x14ac:dyDescent="0.25">
      <c r="A334" s="61" t="s">
        <v>367</v>
      </c>
      <c r="B334" s="61" t="s">
        <v>331</v>
      </c>
      <c r="C334" s="62" t="s">
        <v>0</v>
      </c>
      <c r="D334" s="62">
        <v>994</v>
      </c>
      <c r="E334" s="62">
        <v>994</v>
      </c>
      <c r="F334" s="62" t="s">
        <v>0</v>
      </c>
      <c r="G334" s="63">
        <f>G49*0.75%</f>
        <v>0</v>
      </c>
      <c r="H334" s="63">
        <f>H49*0.75%</f>
        <v>0</v>
      </c>
    </row>
    <row r="335" spans="1:8" x14ac:dyDescent="0.25">
      <c r="A335" s="61" t="s">
        <v>368</v>
      </c>
      <c r="B335" s="61" t="s">
        <v>1373</v>
      </c>
      <c r="C335" s="62" t="s">
        <v>0</v>
      </c>
      <c r="D335" s="62">
        <v>82</v>
      </c>
      <c r="E335" s="62">
        <v>82</v>
      </c>
      <c r="F335" s="62" t="s">
        <v>0</v>
      </c>
      <c r="G335" s="63">
        <f>G100*0.75%</f>
        <v>0</v>
      </c>
      <c r="H335" s="63">
        <f>H100*0.75%</f>
        <v>0</v>
      </c>
    </row>
    <row r="336" spans="1:8" x14ac:dyDescent="0.25">
      <c r="A336" s="61" t="s">
        <v>369</v>
      </c>
      <c r="B336" s="61" t="s">
        <v>1373</v>
      </c>
      <c r="C336" s="62" t="s">
        <v>0</v>
      </c>
      <c r="D336" s="62">
        <v>21</v>
      </c>
      <c r="E336" s="62">
        <v>21</v>
      </c>
      <c r="F336" s="62" t="s">
        <v>0</v>
      </c>
      <c r="G336" s="63">
        <f>G101*0.75%</f>
        <v>0</v>
      </c>
      <c r="H336" s="63">
        <f>H101*0.75%</f>
        <v>0</v>
      </c>
    </row>
    <row r="337" spans="1:10" x14ac:dyDescent="0.25">
      <c r="A337" s="61" t="s">
        <v>370</v>
      </c>
      <c r="B337" s="61" t="s">
        <v>1373</v>
      </c>
      <c r="C337" s="62">
        <v>495</v>
      </c>
      <c r="D337" s="62">
        <v>400</v>
      </c>
      <c r="E337" s="62">
        <v>400</v>
      </c>
      <c r="F337" s="62">
        <v>970.93</v>
      </c>
      <c r="G337" s="63">
        <f>(G76+G131)*0.75%</f>
        <v>187.5</v>
      </c>
      <c r="H337" s="63">
        <f>(H76+H131)*0.75%</f>
        <v>193.125</v>
      </c>
    </row>
    <row r="338" spans="1:10" x14ac:dyDescent="0.25">
      <c r="A338" s="61" t="s">
        <v>371</v>
      </c>
      <c r="B338" s="61" t="s">
        <v>1373</v>
      </c>
      <c r="C338" s="62">
        <v>142</v>
      </c>
      <c r="D338" s="62" t="s">
        <v>0</v>
      </c>
      <c r="E338" s="62" t="s">
        <v>0</v>
      </c>
      <c r="F338" s="62">
        <v>6.53</v>
      </c>
      <c r="G338" s="63">
        <f>(G77+G132)*0.75%</f>
        <v>0</v>
      </c>
      <c r="H338" s="63">
        <f>(H77+H132)*0.75%</f>
        <v>0</v>
      </c>
    </row>
    <row r="339" spans="1:10" x14ac:dyDescent="0.25">
      <c r="A339" s="61" t="s">
        <v>372</v>
      </c>
      <c r="B339" s="61" t="s">
        <v>1373</v>
      </c>
      <c r="C339" s="62">
        <v>18</v>
      </c>
      <c r="D339" s="62">
        <v>154</v>
      </c>
      <c r="E339" s="62">
        <v>154</v>
      </c>
      <c r="F339" s="62" t="s">
        <v>0</v>
      </c>
      <c r="G339" s="63">
        <f>G78*0.75%</f>
        <v>0</v>
      </c>
      <c r="H339" s="63">
        <f>H78*0.75%</f>
        <v>0</v>
      </c>
    </row>
    <row r="340" spans="1:10" x14ac:dyDescent="0.25">
      <c r="A340" s="61" t="s">
        <v>373</v>
      </c>
      <c r="B340" s="61" t="s">
        <v>1373</v>
      </c>
      <c r="C340" s="62">
        <v>33</v>
      </c>
      <c r="D340" s="62" t="s">
        <v>0</v>
      </c>
      <c r="E340" s="62" t="s">
        <v>0</v>
      </c>
      <c r="F340" s="62">
        <v>82.9</v>
      </c>
      <c r="G340" s="63">
        <f>(G79+G80+G82+G83)*0.75%</f>
        <v>37.5</v>
      </c>
      <c r="H340" s="63">
        <f>(H79+H80+H82+H83)*0.75%</f>
        <v>38.625</v>
      </c>
    </row>
    <row r="341" spans="1:10" x14ac:dyDescent="0.25">
      <c r="A341" s="61" t="s">
        <v>374</v>
      </c>
      <c r="B341" s="61" t="s">
        <v>1373</v>
      </c>
      <c r="C341" s="62" t="s">
        <v>0</v>
      </c>
      <c r="D341" s="62">
        <v>20</v>
      </c>
      <c r="E341" s="62">
        <v>20</v>
      </c>
      <c r="F341" s="62" t="s">
        <v>0</v>
      </c>
      <c r="G341" s="63">
        <v>0</v>
      </c>
      <c r="H341" s="63">
        <v>0</v>
      </c>
    </row>
    <row r="342" spans="1:10" x14ac:dyDescent="0.25">
      <c r="A342" s="61" t="s">
        <v>375</v>
      </c>
      <c r="B342" s="61" t="s">
        <v>1373</v>
      </c>
      <c r="C342" s="62">
        <v>140</v>
      </c>
      <c r="D342" s="62">
        <v>23</v>
      </c>
      <c r="E342" s="62">
        <v>23</v>
      </c>
      <c r="F342" s="62">
        <v>139.12</v>
      </c>
      <c r="G342" s="63">
        <v>0</v>
      </c>
      <c r="H342" s="63">
        <v>0</v>
      </c>
    </row>
    <row r="343" spans="1:10" x14ac:dyDescent="0.25">
      <c r="A343" s="61" t="s">
        <v>376</v>
      </c>
      <c r="B343" s="61" t="s">
        <v>1373</v>
      </c>
      <c r="C343" s="62" t="s">
        <v>0</v>
      </c>
      <c r="D343" s="62">
        <v>15</v>
      </c>
      <c r="E343" s="62">
        <v>15</v>
      </c>
      <c r="F343" s="62" t="s">
        <v>0</v>
      </c>
      <c r="G343" s="63">
        <v>0</v>
      </c>
      <c r="H343" s="63">
        <v>0</v>
      </c>
    </row>
    <row r="344" spans="1:10" ht="15.75" thickBot="1" x14ac:dyDescent="0.3">
      <c r="A344" s="61" t="s">
        <v>377</v>
      </c>
      <c r="B344" s="61" t="s">
        <v>378</v>
      </c>
      <c r="C344" s="65">
        <v>15528</v>
      </c>
      <c r="D344" s="65">
        <v>14000</v>
      </c>
      <c r="E344" s="65">
        <v>14000</v>
      </c>
      <c r="F344" s="65">
        <v>8099</v>
      </c>
      <c r="G344" s="66">
        <v>14000</v>
      </c>
      <c r="H344" s="66">
        <v>14000</v>
      </c>
    </row>
    <row r="345" spans="1:10" s="3" customFormat="1" x14ac:dyDescent="0.25">
      <c r="B345" s="3" t="s">
        <v>1274</v>
      </c>
      <c r="C345" s="6">
        <f>SUM(C28:C344)</f>
        <v>12365724</v>
      </c>
      <c r="D345" s="6">
        <f t="shared" ref="D345:H345" si="3">SUM(D28:D344)</f>
        <v>12949727</v>
      </c>
      <c r="E345" s="6">
        <f t="shared" si="3"/>
        <v>12633727</v>
      </c>
      <c r="F345" s="6">
        <f t="shared" si="3"/>
        <v>10402347.780000009</v>
      </c>
      <c r="G345" s="14">
        <f t="shared" si="3"/>
        <v>10503377.119749997</v>
      </c>
      <c r="H345" s="14">
        <f t="shared" si="3"/>
        <v>10776432.936462689</v>
      </c>
      <c r="J345"/>
    </row>
    <row r="346" spans="1:10" x14ac:dyDescent="0.25">
      <c r="C346" s="4"/>
      <c r="D346" s="4"/>
      <c r="E346" s="4"/>
      <c r="F346" s="4"/>
    </row>
    <row r="347" spans="1:10" x14ac:dyDescent="0.25">
      <c r="A347" s="61" t="s">
        <v>379</v>
      </c>
      <c r="B347" s="61" t="s">
        <v>380</v>
      </c>
      <c r="C347" s="62">
        <v>41949</v>
      </c>
      <c r="D347" s="62">
        <v>44000</v>
      </c>
      <c r="E347" s="62">
        <v>44000</v>
      </c>
      <c r="F347" s="62">
        <v>41175</v>
      </c>
      <c r="G347" s="63">
        <v>44000</v>
      </c>
      <c r="H347" s="63">
        <v>44000</v>
      </c>
    </row>
    <row r="348" spans="1:10" x14ac:dyDescent="0.25">
      <c r="A348" s="61" t="s">
        <v>381</v>
      </c>
      <c r="B348" s="61" t="s">
        <v>380</v>
      </c>
      <c r="C348" s="62">
        <v>42099</v>
      </c>
      <c r="D348" s="62">
        <v>44000</v>
      </c>
      <c r="E348" s="62">
        <v>44000</v>
      </c>
      <c r="F348" s="62">
        <v>41325</v>
      </c>
      <c r="G348" s="63">
        <v>44000</v>
      </c>
      <c r="H348" s="63">
        <v>44000</v>
      </c>
    </row>
    <row r="349" spans="1:10" x14ac:dyDescent="0.25">
      <c r="A349" s="67" t="s">
        <v>1368</v>
      </c>
      <c r="B349" s="61" t="s">
        <v>380</v>
      </c>
      <c r="C349" s="62">
        <v>0</v>
      </c>
      <c r="D349" s="62">
        <v>0</v>
      </c>
      <c r="E349" s="62">
        <v>0</v>
      </c>
      <c r="F349" s="62">
        <v>0</v>
      </c>
      <c r="G349" s="63">
        <v>102000</v>
      </c>
      <c r="H349" s="63">
        <v>102000</v>
      </c>
    </row>
    <row r="350" spans="1:10" x14ac:dyDescent="0.25">
      <c r="A350" s="61" t="s">
        <v>382</v>
      </c>
      <c r="B350" s="61" t="s">
        <v>380</v>
      </c>
      <c r="C350" s="62" t="s">
        <v>0</v>
      </c>
      <c r="D350" s="62">
        <v>3000</v>
      </c>
      <c r="E350" s="62">
        <v>3000</v>
      </c>
      <c r="F350" s="62">
        <v>2000</v>
      </c>
      <c r="G350" s="63">
        <v>15000</v>
      </c>
      <c r="H350" s="63">
        <v>15000</v>
      </c>
    </row>
    <row r="351" spans="1:10" x14ac:dyDescent="0.25">
      <c r="A351" s="61" t="s">
        <v>383</v>
      </c>
      <c r="B351" s="61" t="s">
        <v>1299</v>
      </c>
      <c r="C351" s="62" t="s">
        <v>0</v>
      </c>
      <c r="D351" s="62" t="s">
        <v>0</v>
      </c>
      <c r="E351" s="62" t="s">
        <v>0</v>
      </c>
      <c r="F351" s="62">
        <v>6363.32</v>
      </c>
      <c r="G351" s="63">
        <v>0</v>
      </c>
      <c r="H351" s="63">
        <v>0</v>
      </c>
    </row>
    <row r="352" spans="1:10" x14ac:dyDescent="0.25">
      <c r="A352" s="61" t="s">
        <v>384</v>
      </c>
      <c r="B352" s="61" t="s">
        <v>380</v>
      </c>
      <c r="C352" s="62">
        <v>83561</v>
      </c>
      <c r="D352" s="62">
        <v>80000</v>
      </c>
      <c r="E352" s="62">
        <v>80000</v>
      </c>
      <c r="F352" s="62">
        <v>84213.06</v>
      </c>
      <c r="G352" s="63">
        <v>56882</v>
      </c>
      <c r="H352" s="63">
        <v>56882</v>
      </c>
    </row>
    <row r="353" spans="1:8" x14ac:dyDescent="0.25">
      <c r="A353" s="61" t="s">
        <v>385</v>
      </c>
      <c r="B353" s="61" t="s">
        <v>380</v>
      </c>
      <c r="C353" s="62">
        <v>2520</v>
      </c>
      <c r="D353" s="62" t="s">
        <v>0</v>
      </c>
      <c r="E353" s="62" t="s">
        <v>0</v>
      </c>
      <c r="F353" s="62" t="s">
        <v>0</v>
      </c>
      <c r="G353" s="63">
        <v>0</v>
      </c>
      <c r="H353" s="63">
        <v>0</v>
      </c>
    </row>
    <row r="354" spans="1:8" x14ac:dyDescent="0.25">
      <c r="A354" s="61" t="s">
        <v>386</v>
      </c>
      <c r="B354" s="61" t="s">
        <v>1300</v>
      </c>
      <c r="C354" s="62">
        <v>17789</v>
      </c>
      <c r="D354" s="62">
        <v>12000</v>
      </c>
      <c r="E354" s="62">
        <v>9500</v>
      </c>
      <c r="F354" s="62">
        <v>8558.58</v>
      </c>
      <c r="G354" s="63">
        <v>10500</v>
      </c>
      <c r="H354" s="63">
        <v>10500</v>
      </c>
    </row>
    <row r="355" spans="1:8" x14ac:dyDescent="0.25">
      <c r="A355" s="61" t="s">
        <v>387</v>
      </c>
      <c r="B355" s="61" t="s">
        <v>1301</v>
      </c>
      <c r="C355" s="62" t="s">
        <v>0</v>
      </c>
      <c r="D355" s="62">
        <v>700</v>
      </c>
      <c r="E355" s="62">
        <v>2200</v>
      </c>
      <c r="F355" s="62">
        <v>1540</v>
      </c>
      <c r="G355" s="63">
        <v>1750</v>
      </c>
      <c r="H355" s="63">
        <v>1750</v>
      </c>
    </row>
    <row r="356" spans="1:8" x14ac:dyDescent="0.25">
      <c r="A356" s="61" t="s">
        <v>388</v>
      </c>
      <c r="B356" s="61" t="s">
        <v>1302</v>
      </c>
      <c r="C356" s="62">
        <v>6677</v>
      </c>
      <c r="D356" s="62">
        <v>8000</v>
      </c>
      <c r="E356" s="62">
        <v>8000</v>
      </c>
      <c r="F356" s="62">
        <v>13966.75</v>
      </c>
      <c r="G356" s="63">
        <v>8000</v>
      </c>
      <c r="H356" s="63">
        <v>8000</v>
      </c>
    </row>
    <row r="357" spans="1:8" x14ac:dyDescent="0.25">
      <c r="A357" s="61" t="s">
        <v>389</v>
      </c>
      <c r="B357" s="61" t="s">
        <v>390</v>
      </c>
      <c r="C357" s="62">
        <v>23479</v>
      </c>
      <c r="D357" s="62">
        <v>37000</v>
      </c>
      <c r="E357" s="62">
        <v>37000</v>
      </c>
      <c r="F357" s="62">
        <v>15679.84</v>
      </c>
      <c r="G357" s="63">
        <v>41020</v>
      </c>
      <c r="H357" s="63">
        <v>41020</v>
      </c>
    </row>
    <row r="358" spans="1:8" x14ac:dyDescent="0.25">
      <c r="A358" s="61" t="s">
        <v>391</v>
      </c>
      <c r="B358" s="61" t="s">
        <v>390</v>
      </c>
      <c r="C358" s="62">
        <v>6500</v>
      </c>
      <c r="D358" s="62">
        <v>7500</v>
      </c>
      <c r="E358" s="62">
        <v>7500</v>
      </c>
      <c r="F358" s="62">
        <v>6397.78</v>
      </c>
      <c r="G358" s="63">
        <v>6500</v>
      </c>
      <c r="H358" s="63">
        <v>6500</v>
      </c>
    </row>
    <row r="359" spans="1:8" x14ac:dyDescent="0.25">
      <c r="A359" s="61" t="s">
        <v>392</v>
      </c>
      <c r="B359" s="61" t="s">
        <v>390</v>
      </c>
      <c r="C359" s="62">
        <v>500</v>
      </c>
      <c r="D359" s="62">
        <v>1000</v>
      </c>
      <c r="E359" s="62">
        <v>1000</v>
      </c>
      <c r="F359" s="62">
        <v>492.2</v>
      </c>
      <c r="G359" s="63">
        <v>1000</v>
      </c>
      <c r="H359" s="63">
        <v>1000</v>
      </c>
    </row>
    <row r="360" spans="1:8" x14ac:dyDescent="0.25">
      <c r="A360" s="61" t="s">
        <v>393</v>
      </c>
      <c r="B360" s="61" t="s">
        <v>390</v>
      </c>
      <c r="C360" s="62">
        <v>1300</v>
      </c>
      <c r="D360" s="62">
        <v>1500</v>
      </c>
      <c r="E360" s="62">
        <v>1500</v>
      </c>
      <c r="F360" s="62">
        <v>1279.52</v>
      </c>
      <c r="G360" s="63">
        <v>1300</v>
      </c>
      <c r="H360" s="63">
        <v>1300</v>
      </c>
    </row>
    <row r="361" spans="1:8" x14ac:dyDescent="0.25">
      <c r="A361" s="61" t="s">
        <v>394</v>
      </c>
      <c r="B361" s="61" t="s">
        <v>395</v>
      </c>
      <c r="C361" s="62" t="s">
        <v>0</v>
      </c>
      <c r="D361" s="62">
        <v>500</v>
      </c>
      <c r="E361" s="62">
        <v>500</v>
      </c>
      <c r="F361" s="62" t="s">
        <v>0</v>
      </c>
      <c r="G361" s="63">
        <v>1000</v>
      </c>
      <c r="H361" s="63">
        <v>1000</v>
      </c>
    </row>
    <row r="362" spans="1:8" x14ac:dyDescent="0.25">
      <c r="A362" s="61" t="s">
        <v>396</v>
      </c>
      <c r="B362" s="61" t="s">
        <v>395</v>
      </c>
      <c r="C362" s="62" t="s">
        <v>0</v>
      </c>
      <c r="D362" s="62">
        <v>50</v>
      </c>
      <c r="E362" s="62">
        <v>50</v>
      </c>
      <c r="F362" s="62" t="s">
        <v>0</v>
      </c>
      <c r="G362" s="63">
        <v>0</v>
      </c>
      <c r="H362" s="63">
        <v>0</v>
      </c>
    </row>
    <row r="363" spans="1:8" x14ac:dyDescent="0.25">
      <c r="A363" s="61" t="s">
        <v>397</v>
      </c>
      <c r="B363" s="61" t="s">
        <v>1303</v>
      </c>
      <c r="C363" s="62">
        <v>3849</v>
      </c>
      <c r="D363" s="62">
        <v>6580</v>
      </c>
      <c r="E363" s="62">
        <v>6580</v>
      </c>
      <c r="F363" s="62">
        <v>2524.09</v>
      </c>
      <c r="G363" s="63">
        <v>6580</v>
      </c>
      <c r="H363" s="63">
        <v>6580</v>
      </c>
    </row>
    <row r="364" spans="1:8" x14ac:dyDescent="0.25">
      <c r="A364" s="61" t="s">
        <v>398</v>
      </c>
      <c r="B364" s="61" t="s">
        <v>1303</v>
      </c>
      <c r="C364" s="62">
        <v>4837</v>
      </c>
      <c r="D364" s="62">
        <v>3500</v>
      </c>
      <c r="E364" s="62">
        <v>3974.98</v>
      </c>
      <c r="F364" s="62">
        <v>3974.98</v>
      </c>
      <c r="G364" s="63">
        <v>3500</v>
      </c>
      <c r="H364" s="63">
        <v>3500</v>
      </c>
    </row>
    <row r="365" spans="1:8" x14ac:dyDescent="0.25">
      <c r="A365" s="61" t="s">
        <v>399</v>
      </c>
      <c r="B365" s="61" t="s">
        <v>1304</v>
      </c>
      <c r="C365" s="62">
        <v>700</v>
      </c>
      <c r="D365" s="62">
        <v>200</v>
      </c>
      <c r="E365" s="62">
        <v>200</v>
      </c>
      <c r="F365" s="62" t="s">
        <v>0</v>
      </c>
      <c r="G365" s="63">
        <v>100</v>
      </c>
      <c r="H365" s="63">
        <v>100</v>
      </c>
    </row>
    <row r="366" spans="1:8" x14ac:dyDescent="0.25">
      <c r="A366" s="61" t="s">
        <v>400</v>
      </c>
      <c r="B366" s="61" t="s">
        <v>1305</v>
      </c>
      <c r="C366" s="62" t="s">
        <v>0</v>
      </c>
      <c r="D366" s="62">
        <v>200</v>
      </c>
      <c r="E366" s="62">
        <v>200</v>
      </c>
      <c r="F366" s="62">
        <v>151.4</v>
      </c>
      <c r="G366" s="63">
        <v>150</v>
      </c>
      <c r="H366" s="63">
        <v>150</v>
      </c>
    </row>
    <row r="367" spans="1:8" x14ac:dyDescent="0.25">
      <c r="A367" s="61" t="s">
        <v>401</v>
      </c>
      <c r="B367" s="61" t="s">
        <v>1305</v>
      </c>
      <c r="C367" s="62">
        <v>110</v>
      </c>
      <c r="D367" s="62">
        <v>330</v>
      </c>
      <c r="E367" s="62">
        <v>330</v>
      </c>
      <c r="F367" s="62">
        <v>324.25</v>
      </c>
      <c r="G367" s="63">
        <v>110</v>
      </c>
      <c r="H367" s="63">
        <v>110</v>
      </c>
    </row>
    <row r="368" spans="1:8" x14ac:dyDescent="0.25">
      <c r="A368" s="61" t="s">
        <v>402</v>
      </c>
      <c r="B368" s="61" t="s">
        <v>1305</v>
      </c>
      <c r="C368" s="62">
        <v>47</v>
      </c>
      <c r="D368" s="62">
        <v>50</v>
      </c>
      <c r="E368" s="62">
        <v>50</v>
      </c>
      <c r="F368" s="62" t="s">
        <v>0</v>
      </c>
      <c r="G368" s="63">
        <v>0</v>
      </c>
      <c r="H368" s="63">
        <v>0</v>
      </c>
    </row>
    <row r="369" spans="1:8" x14ac:dyDescent="0.25">
      <c r="A369" s="61" t="s">
        <v>403</v>
      </c>
      <c r="B369" s="61" t="s">
        <v>1306</v>
      </c>
      <c r="C369" s="62">
        <v>1000</v>
      </c>
      <c r="D369" s="62">
        <v>1000</v>
      </c>
      <c r="E369" s="62">
        <v>1000</v>
      </c>
      <c r="F369" s="62">
        <v>1000</v>
      </c>
      <c r="G369" s="63">
        <v>1000</v>
      </c>
      <c r="H369" s="63">
        <v>1000</v>
      </c>
    </row>
    <row r="370" spans="1:8" x14ac:dyDescent="0.25">
      <c r="A370" s="61" t="s">
        <v>404</v>
      </c>
      <c r="B370" s="61" t="s">
        <v>1307</v>
      </c>
      <c r="C370" s="62">
        <v>250</v>
      </c>
      <c r="D370" s="62">
        <v>100</v>
      </c>
      <c r="E370" s="62">
        <v>100</v>
      </c>
      <c r="F370" s="62">
        <v>100</v>
      </c>
      <c r="G370" s="63">
        <v>100</v>
      </c>
      <c r="H370" s="63">
        <v>100</v>
      </c>
    </row>
    <row r="371" spans="1:8" x14ac:dyDescent="0.25">
      <c r="A371" s="61" t="s">
        <v>405</v>
      </c>
      <c r="B371" s="61" t="s">
        <v>1308</v>
      </c>
      <c r="C371" s="62" t="s">
        <v>0</v>
      </c>
      <c r="D371" s="62">
        <v>200</v>
      </c>
      <c r="E371" s="62">
        <v>200</v>
      </c>
      <c r="F371" s="62">
        <v>200</v>
      </c>
      <c r="G371" s="63">
        <v>200</v>
      </c>
      <c r="H371" s="63">
        <v>200</v>
      </c>
    </row>
    <row r="372" spans="1:8" x14ac:dyDescent="0.25">
      <c r="A372" s="61" t="s">
        <v>406</v>
      </c>
      <c r="B372" s="61" t="s">
        <v>1309</v>
      </c>
      <c r="C372" s="62">
        <v>14</v>
      </c>
      <c r="D372" s="62">
        <v>300</v>
      </c>
      <c r="E372" s="62">
        <v>300</v>
      </c>
      <c r="F372" s="62">
        <v>146.58000000000001</v>
      </c>
      <c r="G372" s="63">
        <v>300</v>
      </c>
      <c r="H372" s="63">
        <v>300</v>
      </c>
    </row>
    <row r="373" spans="1:8" x14ac:dyDescent="0.25">
      <c r="A373" s="61" t="s">
        <v>407</v>
      </c>
      <c r="B373" s="61" t="s">
        <v>1310</v>
      </c>
      <c r="C373" s="62" t="s">
        <v>0</v>
      </c>
      <c r="D373" s="62">
        <v>267</v>
      </c>
      <c r="E373" s="62">
        <v>267</v>
      </c>
      <c r="F373" s="62" t="s">
        <v>0</v>
      </c>
      <c r="G373" s="63">
        <v>267</v>
      </c>
      <c r="H373" s="63">
        <v>267</v>
      </c>
    </row>
    <row r="374" spans="1:8" x14ac:dyDescent="0.25">
      <c r="A374" s="61" t="s">
        <v>408</v>
      </c>
      <c r="B374" s="61" t="s">
        <v>1311</v>
      </c>
      <c r="C374" s="62" t="s">
        <v>0</v>
      </c>
      <c r="D374" s="62">
        <v>100</v>
      </c>
      <c r="E374" s="62">
        <v>100</v>
      </c>
      <c r="F374" s="62" t="s">
        <v>0</v>
      </c>
      <c r="G374" s="63">
        <v>100</v>
      </c>
      <c r="H374" s="63">
        <v>100</v>
      </c>
    </row>
    <row r="375" spans="1:8" x14ac:dyDescent="0.25">
      <c r="A375" s="61" t="s">
        <v>409</v>
      </c>
      <c r="B375" s="61" t="s">
        <v>1312</v>
      </c>
      <c r="C375" s="62">
        <v>364</v>
      </c>
      <c r="D375" s="62">
        <v>500</v>
      </c>
      <c r="E375" s="62">
        <v>500</v>
      </c>
      <c r="F375" s="62" t="s">
        <v>0</v>
      </c>
      <c r="G375" s="63">
        <v>0</v>
      </c>
      <c r="H375" s="63">
        <v>0</v>
      </c>
    </row>
    <row r="376" spans="1:8" x14ac:dyDescent="0.25">
      <c r="A376" s="61" t="s">
        <v>410</v>
      </c>
      <c r="B376" s="61" t="s">
        <v>1313</v>
      </c>
      <c r="C376" s="62">
        <v>133</v>
      </c>
      <c r="D376" s="62">
        <v>500</v>
      </c>
      <c r="E376" s="62">
        <v>500</v>
      </c>
      <c r="F376" s="62" t="s">
        <v>0</v>
      </c>
      <c r="G376" s="63">
        <v>0</v>
      </c>
      <c r="H376" s="63">
        <v>0</v>
      </c>
    </row>
    <row r="377" spans="1:8" x14ac:dyDescent="0.25">
      <c r="A377" s="61" t="s">
        <v>411</v>
      </c>
      <c r="B377" s="61" t="s">
        <v>1314</v>
      </c>
      <c r="C377" s="62">
        <v>440</v>
      </c>
      <c r="D377" s="62">
        <v>300</v>
      </c>
      <c r="E377" s="62">
        <v>300</v>
      </c>
      <c r="F377" s="62">
        <v>300</v>
      </c>
      <c r="G377" s="63">
        <v>0</v>
      </c>
      <c r="H377" s="63">
        <v>0</v>
      </c>
    </row>
    <row r="378" spans="1:8" x14ac:dyDescent="0.25">
      <c r="A378" s="61" t="s">
        <v>412</v>
      </c>
      <c r="B378" s="61" t="s">
        <v>1315</v>
      </c>
      <c r="C378" s="62">
        <v>500</v>
      </c>
      <c r="D378" s="62">
        <v>300</v>
      </c>
      <c r="E378" s="62">
        <v>300</v>
      </c>
      <c r="F378" s="62">
        <v>300</v>
      </c>
      <c r="G378" s="63">
        <v>0</v>
      </c>
      <c r="H378" s="63">
        <v>0</v>
      </c>
    </row>
    <row r="379" spans="1:8" x14ac:dyDescent="0.25">
      <c r="A379" s="61" t="s">
        <v>413</v>
      </c>
      <c r="B379" s="61" t="s">
        <v>414</v>
      </c>
      <c r="C379" s="62">
        <v>22845</v>
      </c>
      <c r="D379" s="62">
        <v>18000</v>
      </c>
      <c r="E379" s="62">
        <v>18000</v>
      </c>
      <c r="F379" s="62">
        <v>19875.650000000001</v>
      </c>
      <c r="G379" s="63">
        <v>18000</v>
      </c>
      <c r="H379" s="63">
        <v>18000</v>
      </c>
    </row>
    <row r="380" spans="1:8" x14ac:dyDescent="0.25">
      <c r="A380" s="61" t="s">
        <v>415</v>
      </c>
      <c r="B380" s="61" t="s">
        <v>414</v>
      </c>
      <c r="C380" s="62">
        <v>18388</v>
      </c>
      <c r="D380" s="62">
        <v>16000</v>
      </c>
      <c r="E380" s="62">
        <v>16000</v>
      </c>
      <c r="F380" s="62">
        <v>17570.84</v>
      </c>
      <c r="G380" s="63">
        <v>16000</v>
      </c>
      <c r="H380" s="63">
        <v>16000</v>
      </c>
    </row>
    <row r="381" spans="1:8" x14ac:dyDescent="0.25">
      <c r="A381" s="61" t="s">
        <v>416</v>
      </c>
      <c r="B381" s="61" t="s">
        <v>414</v>
      </c>
      <c r="C381" s="62">
        <v>10103</v>
      </c>
      <c r="D381" s="62">
        <v>8000</v>
      </c>
      <c r="E381" s="62">
        <v>8000</v>
      </c>
      <c r="F381" s="62" t="s">
        <v>0</v>
      </c>
      <c r="G381" s="63">
        <v>0</v>
      </c>
      <c r="H381" s="63">
        <v>0</v>
      </c>
    </row>
    <row r="382" spans="1:8" x14ac:dyDescent="0.25">
      <c r="A382" s="61" t="s">
        <v>417</v>
      </c>
      <c r="B382" s="61" t="s">
        <v>414</v>
      </c>
      <c r="C382" s="62">
        <v>15348</v>
      </c>
      <c r="D382" s="62">
        <v>12000</v>
      </c>
      <c r="E382" s="62">
        <v>12000</v>
      </c>
      <c r="F382" s="62">
        <v>26544.61</v>
      </c>
      <c r="G382" s="63">
        <v>20000</v>
      </c>
      <c r="H382" s="63">
        <v>20000</v>
      </c>
    </row>
    <row r="383" spans="1:8" x14ac:dyDescent="0.25">
      <c r="A383" s="61" t="s">
        <v>418</v>
      </c>
      <c r="B383" s="61" t="s">
        <v>414</v>
      </c>
      <c r="C383" s="62">
        <v>13347</v>
      </c>
      <c r="D383" s="62">
        <v>11000</v>
      </c>
      <c r="E383" s="62">
        <v>11000</v>
      </c>
      <c r="F383" s="62">
        <v>10615.58</v>
      </c>
      <c r="G383" s="63">
        <v>11000</v>
      </c>
      <c r="H383" s="63">
        <v>11000</v>
      </c>
    </row>
    <row r="384" spans="1:8" ht="15.75" thickBot="1" x14ac:dyDescent="0.3">
      <c r="A384" s="61" t="s">
        <v>419</v>
      </c>
      <c r="B384" s="61" t="s">
        <v>414</v>
      </c>
      <c r="C384" s="65" t="s">
        <v>0</v>
      </c>
      <c r="D384" s="65">
        <v>5000</v>
      </c>
      <c r="E384" s="65">
        <v>5000</v>
      </c>
      <c r="F384" s="65" t="s">
        <v>0</v>
      </c>
      <c r="G384" s="66">
        <v>5000</v>
      </c>
      <c r="H384" s="66">
        <v>5000</v>
      </c>
    </row>
    <row r="385" spans="1:10" s="3" customFormat="1" x14ac:dyDescent="0.25">
      <c r="B385" s="3" t="s">
        <v>1298</v>
      </c>
      <c r="C385" s="6">
        <f>SUM(C347:C384)</f>
        <v>318649</v>
      </c>
      <c r="D385" s="6">
        <f t="shared" ref="D385:F385" si="4">SUM(D347:D384)</f>
        <v>323677</v>
      </c>
      <c r="E385" s="6">
        <f t="shared" si="4"/>
        <v>323151.98</v>
      </c>
      <c r="F385" s="6">
        <f t="shared" si="4"/>
        <v>306619.02999999997</v>
      </c>
      <c r="G385" s="14">
        <f>SUM(G347:G384)</f>
        <v>415359</v>
      </c>
      <c r="H385" s="14">
        <f>SUM(H347:H384)</f>
        <v>415359</v>
      </c>
      <c r="J385"/>
    </row>
    <row r="386" spans="1:10" x14ac:dyDescent="0.25">
      <c r="C386" s="4"/>
      <c r="D386" s="4"/>
      <c r="E386" s="4"/>
      <c r="F386" s="4"/>
    </row>
    <row r="387" spans="1:10" x14ac:dyDescent="0.25">
      <c r="A387" s="61" t="s">
        <v>420</v>
      </c>
      <c r="B387" s="61" t="s">
        <v>421</v>
      </c>
      <c r="C387" s="62">
        <v>337</v>
      </c>
      <c r="D387" s="62">
        <v>4000</v>
      </c>
      <c r="E387" s="62">
        <v>4000</v>
      </c>
      <c r="F387" s="62" t="s">
        <v>0</v>
      </c>
      <c r="G387" s="63">
        <v>4000</v>
      </c>
      <c r="H387" s="63">
        <v>4000</v>
      </c>
    </row>
    <row r="388" spans="1:10" x14ac:dyDescent="0.25">
      <c r="A388" s="61" t="s">
        <v>422</v>
      </c>
      <c r="B388" s="61" t="s">
        <v>423</v>
      </c>
      <c r="C388" s="62">
        <v>43020</v>
      </c>
      <c r="D388" s="62">
        <v>10000</v>
      </c>
      <c r="E388" s="62">
        <v>10000</v>
      </c>
      <c r="F388" s="62" t="s">
        <v>0</v>
      </c>
      <c r="G388" s="63">
        <v>1000</v>
      </c>
      <c r="H388" s="63">
        <v>1000</v>
      </c>
    </row>
    <row r="389" spans="1:10" x14ac:dyDescent="0.25">
      <c r="A389" s="61" t="s">
        <v>424</v>
      </c>
      <c r="B389" s="61" t="s">
        <v>423</v>
      </c>
      <c r="C389" s="62">
        <v>519</v>
      </c>
      <c r="D389" s="62">
        <v>9500</v>
      </c>
      <c r="E389" s="62">
        <v>9500</v>
      </c>
      <c r="F389" s="62">
        <v>810.75</v>
      </c>
      <c r="G389" s="63">
        <v>9500</v>
      </c>
      <c r="H389" s="63">
        <v>9500</v>
      </c>
    </row>
    <row r="390" spans="1:10" x14ac:dyDescent="0.25">
      <c r="A390" s="61" t="s">
        <v>425</v>
      </c>
      <c r="B390" s="61" t="s">
        <v>423</v>
      </c>
      <c r="C390" s="62">
        <v>263</v>
      </c>
      <c r="D390" s="62">
        <v>11000</v>
      </c>
      <c r="E390" s="62">
        <v>11000</v>
      </c>
      <c r="F390" s="62" t="s">
        <v>0</v>
      </c>
      <c r="G390" s="63">
        <v>11000</v>
      </c>
      <c r="H390" s="63">
        <v>11000</v>
      </c>
    </row>
    <row r="391" spans="1:10" x14ac:dyDescent="0.25">
      <c r="A391" s="61" t="s">
        <v>426</v>
      </c>
      <c r="B391" s="61" t="s">
        <v>423</v>
      </c>
      <c r="C391" s="62">
        <v>987</v>
      </c>
      <c r="D391" s="62">
        <v>8700</v>
      </c>
      <c r="E391" s="62">
        <v>8700</v>
      </c>
      <c r="F391" s="62" t="s">
        <v>0</v>
      </c>
      <c r="G391" s="63">
        <v>8700</v>
      </c>
      <c r="H391" s="63">
        <v>8700</v>
      </c>
    </row>
    <row r="392" spans="1:10" x14ac:dyDescent="0.25">
      <c r="A392" s="61" t="s">
        <v>427</v>
      </c>
      <c r="B392" s="61" t="s">
        <v>428</v>
      </c>
      <c r="C392" s="62">
        <v>170</v>
      </c>
      <c r="D392" s="62">
        <v>180</v>
      </c>
      <c r="E392" s="62">
        <v>180</v>
      </c>
      <c r="F392" s="62">
        <v>113.25</v>
      </c>
      <c r="G392" s="63">
        <v>150</v>
      </c>
      <c r="H392" s="63">
        <v>150</v>
      </c>
    </row>
    <row r="393" spans="1:10" x14ac:dyDescent="0.25">
      <c r="A393" s="61" t="s">
        <v>429</v>
      </c>
      <c r="B393" s="61" t="s">
        <v>428</v>
      </c>
      <c r="C393" s="62">
        <v>110</v>
      </c>
      <c r="D393" s="62" t="s">
        <v>0</v>
      </c>
      <c r="E393" s="62" t="s">
        <v>0</v>
      </c>
      <c r="F393" s="62" t="s">
        <v>0</v>
      </c>
      <c r="G393" s="63">
        <v>0</v>
      </c>
      <c r="H393" s="63">
        <v>0</v>
      </c>
    </row>
    <row r="394" spans="1:10" x14ac:dyDescent="0.25">
      <c r="A394" s="61" t="s">
        <v>430</v>
      </c>
      <c r="B394" s="61" t="s">
        <v>1316</v>
      </c>
      <c r="C394" s="62">
        <v>67</v>
      </c>
      <c r="D394" s="62">
        <v>75</v>
      </c>
      <c r="E394" s="62">
        <v>75</v>
      </c>
      <c r="F394" s="62">
        <v>66.900000000000006</v>
      </c>
      <c r="G394" s="63">
        <v>75</v>
      </c>
      <c r="H394" s="63">
        <v>75</v>
      </c>
    </row>
    <row r="395" spans="1:10" x14ac:dyDescent="0.25">
      <c r="A395" s="61" t="s">
        <v>431</v>
      </c>
      <c r="B395" s="61" t="s">
        <v>1317</v>
      </c>
      <c r="C395" s="62" t="s">
        <v>0</v>
      </c>
      <c r="D395" s="62">
        <v>149</v>
      </c>
      <c r="E395" s="62">
        <v>149</v>
      </c>
      <c r="F395" s="62" t="s">
        <v>0</v>
      </c>
      <c r="G395" s="63">
        <v>149</v>
      </c>
      <c r="H395" s="63">
        <v>149</v>
      </c>
    </row>
    <row r="396" spans="1:10" x14ac:dyDescent="0.25">
      <c r="A396" s="61" t="s">
        <v>432</v>
      </c>
      <c r="B396" s="61" t="s">
        <v>1318</v>
      </c>
      <c r="C396" s="62">
        <v>459</v>
      </c>
      <c r="D396" s="62">
        <v>304</v>
      </c>
      <c r="E396" s="62">
        <v>304</v>
      </c>
      <c r="F396" s="62" t="s">
        <v>0</v>
      </c>
      <c r="G396" s="63">
        <v>304</v>
      </c>
      <c r="H396" s="63">
        <v>304</v>
      </c>
    </row>
    <row r="397" spans="1:10" x14ac:dyDescent="0.25">
      <c r="A397" s="61" t="s">
        <v>433</v>
      </c>
      <c r="B397" s="61" t="s">
        <v>434</v>
      </c>
      <c r="C397" s="62">
        <v>54960</v>
      </c>
      <c r="D397" s="62" t="s">
        <v>0</v>
      </c>
      <c r="E397" s="62" t="s">
        <v>0</v>
      </c>
      <c r="F397" s="62" t="s">
        <v>0</v>
      </c>
      <c r="G397" s="63">
        <v>0</v>
      </c>
      <c r="H397" s="63">
        <v>0</v>
      </c>
    </row>
    <row r="398" spans="1:10" x14ac:dyDescent="0.25">
      <c r="A398" s="61" t="s">
        <v>435</v>
      </c>
      <c r="B398" s="61" t="s">
        <v>434</v>
      </c>
      <c r="C398" s="62">
        <v>78</v>
      </c>
      <c r="D398" s="62" t="s">
        <v>0</v>
      </c>
      <c r="E398" s="62" t="s">
        <v>0</v>
      </c>
      <c r="F398" s="62" t="s">
        <v>0</v>
      </c>
      <c r="G398" s="63">
        <v>0</v>
      </c>
      <c r="H398" s="63">
        <v>0</v>
      </c>
    </row>
    <row r="399" spans="1:10" x14ac:dyDescent="0.25">
      <c r="A399" s="61" t="s">
        <v>436</v>
      </c>
      <c r="B399" s="61" t="s">
        <v>434</v>
      </c>
      <c r="C399" s="62" t="s">
        <v>0</v>
      </c>
      <c r="D399" s="62" t="s">
        <v>0</v>
      </c>
      <c r="E399" s="62">
        <v>316000</v>
      </c>
      <c r="F399" s="62">
        <v>286432.61</v>
      </c>
      <c r="G399" s="63">
        <v>0</v>
      </c>
      <c r="H399" s="63">
        <v>0</v>
      </c>
    </row>
    <row r="400" spans="1:10" x14ac:dyDescent="0.25">
      <c r="A400" s="61" t="s">
        <v>437</v>
      </c>
      <c r="B400" s="61" t="s">
        <v>1319</v>
      </c>
      <c r="C400" s="62" t="s">
        <v>0</v>
      </c>
      <c r="D400" s="62">
        <v>125000</v>
      </c>
      <c r="E400" s="62">
        <v>125000</v>
      </c>
      <c r="F400" s="62">
        <v>0</v>
      </c>
      <c r="G400" s="63">
        <v>125000</v>
      </c>
      <c r="H400" s="63">
        <v>125000</v>
      </c>
    </row>
    <row r="401" spans="1:8" x14ac:dyDescent="0.25">
      <c r="A401" s="61" t="s">
        <v>438</v>
      </c>
      <c r="B401" s="61" t="s">
        <v>439</v>
      </c>
      <c r="C401" s="62">
        <v>16169</v>
      </c>
      <c r="D401" s="62">
        <v>28630</v>
      </c>
      <c r="E401" s="62">
        <v>28630</v>
      </c>
      <c r="F401" s="62">
        <v>18267.62</v>
      </c>
      <c r="G401" s="68">
        <v>19500</v>
      </c>
      <c r="H401" s="68">
        <v>19500</v>
      </c>
    </row>
    <row r="402" spans="1:8" x14ac:dyDescent="0.25">
      <c r="A402" s="61" t="s">
        <v>440</v>
      </c>
      <c r="B402" s="61" t="s">
        <v>439</v>
      </c>
      <c r="C402" s="62" t="s">
        <v>0</v>
      </c>
      <c r="D402" s="62">
        <v>250</v>
      </c>
      <c r="E402" s="62">
        <v>250</v>
      </c>
      <c r="F402" s="62" t="s">
        <v>0</v>
      </c>
      <c r="G402" s="68">
        <v>200</v>
      </c>
      <c r="H402" s="68">
        <v>200</v>
      </c>
    </row>
    <row r="403" spans="1:8" x14ac:dyDescent="0.25">
      <c r="A403" s="61" t="s">
        <v>441</v>
      </c>
      <c r="B403" s="61" t="s">
        <v>439</v>
      </c>
      <c r="C403" s="62">
        <v>2226</v>
      </c>
      <c r="D403" s="62">
        <v>9450</v>
      </c>
      <c r="E403" s="62">
        <v>9450</v>
      </c>
      <c r="F403" s="62">
        <v>5851.69</v>
      </c>
      <c r="G403" s="68">
        <v>6813</v>
      </c>
      <c r="H403" s="68">
        <v>6813</v>
      </c>
    </row>
    <row r="404" spans="1:8" x14ac:dyDescent="0.25">
      <c r="A404" s="61" t="s">
        <v>442</v>
      </c>
      <c r="B404" s="61" t="s">
        <v>439</v>
      </c>
      <c r="C404" s="62" t="s">
        <v>0</v>
      </c>
      <c r="D404" s="62">
        <v>200</v>
      </c>
      <c r="E404" s="62">
        <v>200</v>
      </c>
      <c r="F404" s="62">
        <v>200</v>
      </c>
      <c r="G404" s="68">
        <v>150</v>
      </c>
      <c r="H404" s="68">
        <v>150</v>
      </c>
    </row>
    <row r="405" spans="1:8" x14ac:dyDescent="0.25">
      <c r="A405" s="61" t="s">
        <v>443</v>
      </c>
      <c r="B405" s="61" t="s">
        <v>439</v>
      </c>
      <c r="C405" s="62">
        <v>7422</v>
      </c>
      <c r="D405" s="62">
        <v>6000</v>
      </c>
      <c r="E405" s="62">
        <v>6000</v>
      </c>
      <c r="F405" s="62">
        <v>3958.7</v>
      </c>
      <c r="G405" s="68">
        <v>5000</v>
      </c>
      <c r="H405" s="68">
        <v>5000</v>
      </c>
    </row>
    <row r="406" spans="1:8" x14ac:dyDescent="0.25">
      <c r="A406" s="61" t="s">
        <v>444</v>
      </c>
      <c r="B406" s="61" t="s">
        <v>439</v>
      </c>
      <c r="C406" s="62">
        <v>16750</v>
      </c>
      <c r="D406" s="62">
        <v>20046</v>
      </c>
      <c r="E406" s="62">
        <v>22616.7</v>
      </c>
      <c r="F406" s="62">
        <v>22432.38</v>
      </c>
      <c r="G406" s="68">
        <v>20000</v>
      </c>
      <c r="H406" s="68">
        <v>20000</v>
      </c>
    </row>
    <row r="407" spans="1:8" x14ac:dyDescent="0.25">
      <c r="A407" s="61" t="s">
        <v>445</v>
      </c>
      <c r="B407" s="61" t="s">
        <v>439</v>
      </c>
      <c r="C407" s="62" t="s">
        <v>0</v>
      </c>
      <c r="D407" s="62">
        <v>250</v>
      </c>
      <c r="E407" s="62">
        <v>250</v>
      </c>
      <c r="F407" s="62" t="s">
        <v>0</v>
      </c>
      <c r="G407" s="68">
        <v>200</v>
      </c>
      <c r="H407" s="68">
        <v>200</v>
      </c>
    </row>
    <row r="408" spans="1:8" x14ac:dyDescent="0.25">
      <c r="A408" s="61" t="s">
        <v>446</v>
      </c>
      <c r="B408" s="61" t="s">
        <v>439</v>
      </c>
      <c r="C408" s="62" t="s">
        <v>0</v>
      </c>
      <c r="D408" s="62">
        <v>200</v>
      </c>
      <c r="E408" s="62">
        <v>200</v>
      </c>
      <c r="F408" s="62">
        <v>200</v>
      </c>
      <c r="G408" s="68">
        <v>200</v>
      </c>
      <c r="H408" s="68">
        <v>200</v>
      </c>
    </row>
    <row r="409" spans="1:8" x14ac:dyDescent="0.25">
      <c r="A409" s="61" t="s">
        <v>447</v>
      </c>
      <c r="B409" s="61" t="s">
        <v>439</v>
      </c>
      <c r="C409" s="62">
        <v>45</v>
      </c>
      <c r="D409" s="62">
        <v>0</v>
      </c>
      <c r="E409" s="62">
        <v>0</v>
      </c>
      <c r="F409" s="62">
        <v>0</v>
      </c>
      <c r="G409" s="68">
        <v>0</v>
      </c>
      <c r="H409" s="68">
        <v>0</v>
      </c>
    </row>
    <row r="410" spans="1:8" x14ac:dyDescent="0.25">
      <c r="A410" s="61" t="s">
        <v>448</v>
      </c>
      <c r="B410" s="61" t="s">
        <v>439</v>
      </c>
      <c r="C410" s="62">
        <v>14781</v>
      </c>
      <c r="D410" s="62">
        <v>0</v>
      </c>
      <c r="E410" s="62">
        <v>0</v>
      </c>
      <c r="F410" s="62">
        <v>0</v>
      </c>
      <c r="G410" s="68">
        <v>0</v>
      </c>
      <c r="H410" s="68">
        <v>0</v>
      </c>
    </row>
    <row r="411" spans="1:8" x14ac:dyDescent="0.25">
      <c r="A411" s="61" t="s">
        <v>449</v>
      </c>
      <c r="B411" s="61" t="s">
        <v>439</v>
      </c>
      <c r="C411" s="62">
        <v>35748</v>
      </c>
      <c r="D411" s="62">
        <v>50750</v>
      </c>
      <c r="E411" s="62">
        <v>48750</v>
      </c>
      <c r="F411" s="62">
        <v>48688.27</v>
      </c>
      <c r="G411" s="68">
        <v>39484</v>
      </c>
      <c r="H411" s="68">
        <v>39484</v>
      </c>
    </row>
    <row r="412" spans="1:8" x14ac:dyDescent="0.25">
      <c r="A412" s="61" t="s">
        <v>450</v>
      </c>
      <c r="B412" s="61" t="s">
        <v>439</v>
      </c>
      <c r="C412" s="62">
        <v>250</v>
      </c>
      <c r="D412" s="62">
        <v>250</v>
      </c>
      <c r="E412" s="62">
        <v>250</v>
      </c>
      <c r="F412" s="62" t="s">
        <v>0</v>
      </c>
      <c r="G412" s="68">
        <v>275</v>
      </c>
      <c r="H412" s="68">
        <v>275</v>
      </c>
    </row>
    <row r="413" spans="1:8" x14ac:dyDescent="0.25">
      <c r="A413" s="61" t="s">
        <v>451</v>
      </c>
      <c r="B413" s="61" t="s">
        <v>439</v>
      </c>
      <c r="C413" s="62">
        <v>200</v>
      </c>
      <c r="D413" s="62">
        <v>200</v>
      </c>
      <c r="E413" s="62">
        <v>200</v>
      </c>
      <c r="F413" s="62">
        <v>200</v>
      </c>
      <c r="G413" s="68">
        <v>200</v>
      </c>
      <c r="H413" s="68">
        <v>200</v>
      </c>
    </row>
    <row r="414" spans="1:8" x14ac:dyDescent="0.25">
      <c r="A414" s="61" t="s">
        <v>452</v>
      </c>
      <c r="B414" s="61" t="s">
        <v>439</v>
      </c>
      <c r="C414" s="62">
        <v>270</v>
      </c>
      <c r="D414" s="62" t="s">
        <v>0</v>
      </c>
      <c r="E414" s="62" t="s">
        <v>0</v>
      </c>
      <c r="F414" s="62" t="s">
        <v>0</v>
      </c>
      <c r="G414" s="63"/>
      <c r="H414" s="63"/>
    </row>
    <row r="415" spans="1:8" x14ac:dyDescent="0.25">
      <c r="A415" s="61" t="s">
        <v>453</v>
      </c>
      <c r="B415" s="61" t="s">
        <v>439</v>
      </c>
      <c r="C415" s="62">
        <v>16871</v>
      </c>
      <c r="D415" s="62">
        <v>20356</v>
      </c>
      <c r="E415" s="62">
        <v>20356</v>
      </c>
      <c r="F415" s="62">
        <v>18664.78</v>
      </c>
      <c r="G415" s="68">
        <v>18300</v>
      </c>
      <c r="H415" s="68">
        <v>18300</v>
      </c>
    </row>
    <row r="416" spans="1:8" x14ac:dyDescent="0.25">
      <c r="A416" s="61" t="s">
        <v>454</v>
      </c>
      <c r="B416" s="61" t="s">
        <v>439</v>
      </c>
      <c r="C416" s="62">
        <v>249</v>
      </c>
      <c r="D416" s="62">
        <v>250</v>
      </c>
      <c r="E416" s="62" t="s">
        <v>0</v>
      </c>
      <c r="F416" s="62" t="s">
        <v>0</v>
      </c>
      <c r="G416" s="68">
        <v>275</v>
      </c>
      <c r="H416" s="68">
        <v>275</v>
      </c>
    </row>
    <row r="417" spans="1:8" x14ac:dyDescent="0.25">
      <c r="A417" s="61" t="s">
        <v>455</v>
      </c>
      <c r="B417" s="61" t="s">
        <v>439</v>
      </c>
      <c r="C417" s="62">
        <v>188</v>
      </c>
      <c r="D417" s="62">
        <v>200</v>
      </c>
      <c r="E417" s="62">
        <v>200</v>
      </c>
      <c r="F417" s="62">
        <v>200</v>
      </c>
      <c r="G417" s="68">
        <v>200</v>
      </c>
      <c r="H417" s="68">
        <v>200</v>
      </c>
    </row>
    <row r="418" spans="1:8" x14ac:dyDescent="0.25">
      <c r="A418" s="61" t="s">
        <v>456</v>
      </c>
      <c r="B418" s="61" t="s">
        <v>439</v>
      </c>
      <c r="C418" s="62">
        <v>4150</v>
      </c>
      <c r="D418" s="62">
        <v>32000</v>
      </c>
      <c r="E418" s="62">
        <v>34864</v>
      </c>
      <c r="F418" s="62">
        <v>6043.09</v>
      </c>
      <c r="G418" s="68">
        <v>22000</v>
      </c>
      <c r="H418" s="68">
        <v>22000</v>
      </c>
    </row>
    <row r="419" spans="1:8" x14ac:dyDescent="0.25">
      <c r="A419" s="61" t="s">
        <v>457</v>
      </c>
      <c r="B419" s="61" t="s">
        <v>439</v>
      </c>
      <c r="C419" s="62" t="s">
        <v>0</v>
      </c>
      <c r="D419" s="62" t="s">
        <v>0</v>
      </c>
      <c r="E419" s="62" t="s">
        <v>0</v>
      </c>
      <c r="F419" s="62">
        <v>2000</v>
      </c>
      <c r="G419" s="68">
        <v>0</v>
      </c>
      <c r="H419" s="68">
        <v>0</v>
      </c>
    </row>
    <row r="420" spans="1:8" x14ac:dyDescent="0.25">
      <c r="A420" s="61" t="s">
        <v>458</v>
      </c>
      <c r="B420" s="61" t="s">
        <v>439</v>
      </c>
      <c r="C420" s="62" t="s">
        <v>0</v>
      </c>
      <c r="D420" s="62" t="s">
        <v>0</v>
      </c>
      <c r="E420" s="62" t="s">
        <v>0</v>
      </c>
      <c r="F420" s="64">
        <v>-6368.55</v>
      </c>
      <c r="G420" s="68">
        <v>0</v>
      </c>
      <c r="H420" s="68">
        <v>0</v>
      </c>
    </row>
    <row r="421" spans="1:8" x14ac:dyDescent="0.25">
      <c r="A421" s="61" t="s">
        <v>459</v>
      </c>
      <c r="B421" s="61" t="s">
        <v>439</v>
      </c>
      <c r="C421" s="62">
        <v>2362</v>
      </c>
      <c r="D421" s="62">
        <v>3000</v>
      </c>
      <c r="E421" s="62">
        <v>3000</v>
      </c>
      <c r="F421" s="62">
        <v>2789.18</v>
      </c>
      <c r="G421" s="68">
        <v>4000</v>
      </c>
      <c r="H421" s="68">
        <v>4000</v>
      </c>
    </row>
    <row r="422" spans="1:8" x14ac:dyDescent="0.25">
      <c r="A422" s="61" t="s">
        <v>460</v>
      </c>
      <c r="B422" s="61" t="s">
        <v>439</v>
      </c>
      <c r="C422" s="62">
        <v>894</v>
      </c>
      <c r="D422" s="62">
        <v>500</v>
      </c>
      <c r="E422" s="62">
        <v>500</v>
      </c>
      <c r="F422" s="62">
        <v>183.39</v>
      </c>
      <c r="G422" s="68">
        <v>400</v>
      </c>
      <c r="H422" s="68">
        <v>400</v>
      </c>
    </row>
    <row r="423" spans="1:8" x14ac:dyDescent="0.25">
      <c r="A423" s="61" t="s">
        <v>461</v>
      </c>
      <c r="B423" s="61" t="s">
        <v>439</v>
      </c>
      <c r="C423" s="62">
        <v>67</v>
      </c>
      <c r="D423" s="62">
        <v>140</v>
      </c>
      <c r="E423" s="62">
        <v>140</v>
      </c>
      <c r="F423" s="62">
        <v>59.47</v>
      </c>
      <c r="G423" s="68">
        <v>480</v>
      </c>
      <c r="H423" s="68">
        <v>480</v>
      </c>
    </row>
    <row r="424" spans="1:8" x14ac:dyDescent="0.25">
      <c r="A424" s="61" t="s">
        <v>462</v>
      </c>
      <c r="B424" s="61" t="s">
        <v>439</v>
      </c>
      <c r="C424" s="62">
        <v>662</v>
      </c>
      <c r="D424" s="62">
        <v>1000</v>
      </c>
      <c r="E424" s="62">
        <v>2119</v>
      </c>
      <c r="F424" s="62">
        <v>599.94000000000005</v>
      </c>
      <c r="G424" s="68">
        <v>500</v>
      </c>
      <c r="H424" s="68">
        <v>500</v>
      </c>
    </row>
    <row r="425" spans="1:8" x14ac:dyDescent="0.25">
      <c r="A425" s="61" t="s">
        <v>463</v>
      </c>
      <c r="B425" s="61" t="s">
        <v>1321</v>
      </c>
      <c r="C425" s="62">
        <v>854</v>
      </c>
      <c r="D425" s="62">
        <v>5000</v>
      </c>
      <c r="E425" s="62">
        <v>5000</v>
      </c>
      <c r="F425" s="62">
        <v>4663.1499999999996</v>
      </c>
      <c r="G425" s="68">
        <v>4000</v>
      </c>
      <c r="H425" s="68">
        <v>4000</v>
      </c>
    </row>
    <row r="426" spans="1:8" x14ac:dyDescent="0.25">
      <c r="A426" s="61" t="s">
        <v>464</v>
      </c>
      <c r="B426" s="61" t="s">
        <v>1321</v>
      </c>
      <c r="C426" s="62" t="s">
        <v>0</v>
      </c>
      <c r="D426" s="62" t="s">
        <v>0</v>
      </c>
      <c r="E426" s="62">
        <v>2599</v>
      </c>
      <c r="F426" s="62">
        <v>2599</v>
      </c>
      <c r="G426" s="69">
        <v>0</v>
      </c>
      <c r="H426" s="69">
        <v>0</v>
      </c>
    </row>
    <row r="427" spans="1:8" x14ac:dyDescent="0.25">
      <c r="A427" s="61" t="s">
        <v>465</v>
      </c>
      <c r="B427" s="61" t="s">
        <v>1322</v>
      </c>
      <c r="C427" s="62">
        <v>4000</v>
      </c>
      <c r="D427" s="62">
        <v>3500</v>
      </c>
      <c r="E427" s="62">
        <v>3500</v>
      </c>
      <c r="F427" s="62">
        <v>3497.54</v>
      </c>
      <c r="G427" s="68">
        <v>3000</v>
      </c>
      <c r="H427" s="68">
        <v>3000</v>
      </c>
    </row>
    <row r="428" spans="1:8" x14ac:dyDescent="0.25">
      <c r="A428" s="61" t="s">
        <v>466</v>
      </c>
      <c r="B428" s="61" t="s">
        <v>1322</v>
      </c>
      <c r="C428" s="62">
        <v>2896</v>
      </c>
      <c r="D428" s="62">
        <v>1927</v>
      </c>
      <c r="E428" s="62">
        <v>1873.66</v>
      </c>
      <c r="F428" s="62">
        <v>1873.66</v>
      </c>
      <c r="G428" s="68">
        <v>1130</v>
      </c>
      <c r="H428" s="68">
        <v>1130</v>
      </c>
    </row>
    <row r="429" spans="1:8" x14ac:dyDescent="0.25">
      <c r="A429" s="61" t="s">
        <v>467</v>
      </c>
      <c r="B429" s="61" t="s">
        <v>1322</v>
      </c>
      <c r="C429" s="62">
        <v>750</v>
      </c>
      <c r="D429" s="62">
        <v>750</v>
      </c>
      <c r="E429" s="62">
        <v>2750</v>
      </c>
      <c r="F429" s="62">
        <v>2748.96</v>
      </c>
      <c r="G429" s="68">
        <v>2500</v>
      </c>
      <c r="H429" s="68">
        <v>2500</v>
      </c>
    </row>
    <row r="430" spans="1:8" x14ac:dyDescent="0.25">
      <c r="A430" s="61" t="s">
        <v>468</v>
      </c>
      <c r="B430" s="61" t="s">
        <v>1322</v>
      </c>
      <c r="C430" s="62">
        <v>2000</v>
      </c>
      <c r="D430" s="62" t="s">
        <v>0</v>
      </c>
      <c r="E430" s="62" t="s">
        <v>0</v>
      </c>
      <c r="F430" s="62" t="s">
        <v>0</v>
      </c>
      <c r="G430" s="68">
        <v>0</v>
      </c>
      <c r="H430" s="68">
        <v>0</v>
      </c>
    </row>
    <row r="431" spans="1:8" x14ac:dyDescent="0.25">
      <c r="A431" s="61" t="s">
        <v>469</v>
      </c>
      <c r="B431" s="61" t="s">
        <v>1323</v>
      </c>
      <c r="C431" s="62">
        <v>7476</v>
      </c>
      <c r="D431" s="62">
        <v>5500</v>
      </c>
      <c r="E431" s="62">
        <v>6500</v>
      </c>
      <c r="F431" s="62">
        <v>5784.5</v>
      </c>
      <c r="G431" s="68">
        <v>5500</v>
      </c>
      <c r="H431" s="68">
        <v>5500</v>
      </c>
    </row>
    <row r="432" spans="1:8" x14ac:dyDescent="0.25">
      <c r="A432" s="61" t="s">
        <v>470</v>
      </c>
      <c r="B432" s="61" t="s">
        <v>1323</v>
      </c>
      <c r="C432" s="62">
        <v>3544</v>
      </c>
      <c r="D432" s="62">
        <v>3800</v>
      </c>
      <c r="E432" s="62">
        <v>3325.02</v>
      </c>
      <c r="F432" s="62">
        <v>1981.88</v>
      </c>
      <c r="G432" s="68">
        <v>3800</v>
      </c>
      <c r="H432" s="68">
        <v>3800</v>
      </c>
    </row>
    <row r="433" spans="1:8" x14ac:dyDescent="0.25">
      <c r="A433" s="61" t="s">
        <v>471</v>
      </c>
      <c r="B433" s="61" t="s">
        <v>1324</v>
      </c>
      <c r="C433" s="62">
        <v>3300</v>
      </c>
      <c r="D433" s="62">
        <v>2000</v>
      </c>
      <c r="E433" s="62">
        <v>2000</v>
      </c>
      <c r="F433" s="62">
        <v>1934.99</v>
      </c>
      <c r="G433" s="68">
        <v>1750</v>
      </c>
      <c r="H433" s="68">
        <v>1750</v>
      </c>
    </row>
    <row r="434" spans="1:8" x14ac:dyDescent="0.25">
      <c r="A434" s="61" t="s">
        <v>472</v>
      </c>
      <c r="B434" s="61" t="s">
        <v>1325</v>
      </c>
      <c r="C434" s="62">
        <v>4276</v>
      </c>
      <c r="D434" s="62">
        <v>3000</v>
      </c>
      <c r="E434" s="62">
        <v>3000</v>
      </c>
      <c r="F434" s="62">
        <v>2724.72</v>
      </c>
      <c r="G434" s="68">
        <v>2500</v>
      </c>
      <c r="H434" s="68">
        <v>2500</v>
      </c>
    </row>
    <row r="435" spans="1:8" x14ac:dyDescent="0.25">
      <c r="A435" s="61" t="s">
        <v>473</v>
      </c>
      <c r="B435" s="61" t="s">
        <v>1325</v>
      </c>
      <c r="C435" s="62">
        <v>983</v>
      </c>
      <c r="D435" s="62">
        <v>668</v>
      </c>
      <c r="E435" s="62">
        <v>398.59</v>
      </c>
      <c r="F435" s="62">
        <v>398.59</v>
      </c>
      <c r="G435" s="68">
        <v>568</v>
      </c>
      <c r="H435" s="68">
        <v>568</v>
      </c>
    </row>
    <row r="436" spans="1:8" x14ac:dyDescent="0.25">
      <c r="A436" s="61" t="s">
        <v>474</v>
      </c>
      <c r="B436" s="61" t="s">
        <v>1325</v>
      </c>
      <c r="C436" s="62">
        <v>388</v>
      </c>
      <c r="D436" s="62">
        <v>410</v>
      </c>
      <c r="E436" s="62">
        <v>410</v>
      </c>
      <c r="F436" s="62" t="s">
        <v>0</v>
      </c>
      <c r="G436" s="68">
        <v>200</v>
      </c>
      <c r="H436" s="68">
        <v>200</v>
      </c>
    </row>
    <row r="437" spans="1:8" x14ac:dyDescent="0.25">
      <c r="A437" s="61" t="s">
        <v>475</v>
      </c>
      <c r="B437" s="61" t="s">
        <v>1325</v>
      </c>
      <c r="C437" s="62">
        <v>946</v>
      </c>
      <c r="D437" s="62" t="s">
        <v>0</v>
      </c>
      <c r="E437" s="62" t="s">
        <v>0</v>
      </c>
      <c r="F437" s="62" t="s">
        <v>0</v>
      </c>
      <c r="G437" s="68">
        <v>0</v>
      </c>
      <c r="H437" s="68">
        <v>0</v>
      </c>
    </row>
    <row r="438" spans="1:8" x14ac:dyDescent="0.25">
      <c r="A438" s="61" t="s">
        <v>476</v>
      </c>
      <c r="B438" s="61" t="s">
        <v>1326</v>
      </c>
      <c r="C438" s="62">
        <v>2442</v>
      </c>
      <c r="D438" s="62">
        <v>2500</v>
      </c>
      <c r="E438" s="62">
        <v>2500</v>
      </c>
      <c r="F438" s="62">
        <v>2500</v>
      </c>
      <c r="G438" s="68">
        <v>2500</v>
      </c>
      <c r="H438" s="68">
        <v>2500</v>
      </c>
    </row>
    <row r="439" spans="1:8" x14ac:dyDescent="0.25">
      <c r="A439" s="61" t="s">
        <v>477</v>
      </c>
      <c r="B439" s="61" t="s">
        <v>1326</v>
      </c>
      <c r="C439" s="62">
        <v>773</v>
      </c>
      <c r="D439" s="62">
        <v>891</v>
      </c>
      <c r="E439" s="62">
        <v>876.92</v>
      </c>
      <c r="F439" s="62">
        <v>876.92</v>
      </c>
      <c r="G439" s="68">
        <v>773</v>
      </c>
      <c r="H439" s="68">
        <v>773</v>
      </c>
    </row>
    <row r="440" spans="1:8" x14ac:dyDescent="0.25">
      <c r="A440" s="61" t="s">
        <v>478</v>
      </c>
      <c r="B440" s="61" t="s">
        <v>1327</v>
      </c>
      <c r="C440" s="62">
        <v>2400</v>
      </c>
      <c r="D440" s="62">
        <v>1800</v>
      </c>
      <c r="E440" s="62">
        <v>1800</v>
      </c>
      <c r="F440" s="62">
        <v>1756.81</v>
      </c>
      <c r="G440" s="68">
        <v>1500</v>
      </c>
      <c r="H440" s="68">
        <v>1500</v>
      </c>
    </row>
    <row r="441" spans="1:8" x14ac:dyDescent="0.25">
      <c r="A441" s="61" t="s">
        <v>479</v>
      </c>
      <c r="B441" s="61" t="s">
        <v>1328</v>
      </c>
      <c r="C441" s="62">
        <v>26</v>
      </c>
      <c r="D441" s="62">
        <v>700</v>
      </c>
      <c r="E441" s="62">
        <v>700</v>
      </c>
      <c r="F441" s="62">
        <v>300.02</v>
      </c>
      <c r="G441" s="68">
        <v>500</v>
      </c>
      <c r="H441" s="68">
        <v>500</v>
      </c>
    </row>
    <row r="442" spans="1:8" x14ac:dyDescent="0.25">
      <c r="A442" s="61" t="s">
        <v>480</v>
      </c>
      <c r="B442" s="61" t="s">
        <v>1329</v>
      </c>
      <c r="C442" s="62">
        <v>560</v>
      </c>
      <c r="D442" s="62">
        <v>560</v>
      </c>
      <c r="E442" s="62">
        <v>560</v>
      </c>
      <c r="F442" s="62">
        <v>244.44</v>
      </c>
      <c r="G442" s="68">
        <v>300</v>
      </c>
      <c r="H442" s="68">
        <v>300</v>
      </c>
    </row>
    <row r="443" spans="1:8" x14ac:dyDescent="0.25">
      <c r="A443" s="61" t="s">
        <v>481</v>
      </c>
      <c r="B443" s="61" t="s">
        <v>1329</v>
      </c>
      <c r="C443" s="62">
        <v>1027</v>
      </c>
      <c r="D443" s="62" t="s">
        <v>0</v>
      </c>
      <c r="E443" s="62" t="s">
        <v>0</v>
      </c>
      <c r="F443" s="62" t="s">
        <v>0</v>
      </c>
      <c r="G443" s="68">
        <v>0</v>
      </c>
      <c r="H443" s="68">
        <v>0</v>
      </c>
    </row>
    <row r="444" spans="1:8" x14ac:dyDescent="0.25">
      <c r="A444" s="61" t="s">
        <v>482</v>
      </c>
      <c r="B444" s="61" t="s">
        <v>1330</v>
      </c>
      <c r="C444" s="62">
        <v>177</v>
      </c>
      <c r="D444" s="62">
        <v>200</v>
      </c>
      <c r="E444" s="62">
        <v>200</v>
      </c>
      <c r="F444" s="62">
        <v>200</v>
      </c>
      <c r="G444" s="68">
        <v>200</v>
      </c>
      <c r="H444" s="68">
        <v>200</v>
      </c>
    </row>
    <row r="445" spans="1:8" x14ac:dyDescent="0.25">
      <c r="A445" s="61" t="s">
        <v>483</v>
      </c>
      <c r="B445" s="61" t="s">
        <v>1331</v>
      </c>
      <c r="C445" s="62">
        <v>4528</v>
      </c>
      <c r="D445" s="62">
        <v>3500</v>
      </c>
      <c r="E445" s="62">
        <v>3500</v>
      </c>
      <c r="F445" s="62">
        <v>3389.26</v>
      </c>
      <c r="G445" s="68">
        <v>3250</v>
      </c>
      <c r="H445" s="68">
        <v>3250</v>
      </c>
    </row>
    <row r="446" spans="1:8" x14ac:dyDescent="0.25">
      <c r="A446" s="61" t="s">
        <v>484</v>
      </c>
      <c r="B446" s="61" t="s">
        <v>1331</v>
      </c>
      <c r="C446" s="62">
        <v>2667</v>
      </c>
      <c r="D446" s="62">
        <v>2392</v>
      </c>
      <c r="E446" s="62">
        <v>2368.5</v>
      </c>
      <c r="F446" s="62">
        <v>2368.5</v>
      </c>
      <c r="G446" s="68">
        <v>2392</v>
      </c>
      <c r="H446" s="68">
        <v>2392</v>
      </c>
    </row>
    <row r="447" spans="1:8" x14ac:dyDescent="0.25">
      <c r="A447" s="61" t="s">
        <v>485</v>
      </c>
      <c r="B447" s="61" t="s">
        <v>1332</v>
      </c>
      <c r="C447" s="62">
        <v>4326</v>
      </c>
      <c r="D447" s="62">
        <v>4000</v>
      </c>
      <c r="E447" s="62">
        <v>4000</v>
      </c>
      <c r="F447" s="62">
        <v>2371.41</v>
      </c>
      <c r="G447" s="68">
        <v>3000</v>
      </c>
      <c r="H447" s="68">
        <v>3000</v>
      </c>
    </row>
    <row r="448" spans="1:8" x14ac:dyDescent="0.25">
      <c r="A448" s="61" t="s">
        <v>486</v>
      </c>
      <c r="B448" s="61" t="s">
        <v>1333</v>
      </c>
      <c r="C448" s="62">
        <v>265</v>
      </c>
      <c r="D448" s="62">
        <v>350</v>
      </c>
      <c r="E448" s="62">
        <v>350</v>
      </c>
      <c r="F448" s="62" t="s">
        <v>0</v>
      </c>
      <c r="G448" s="68">
        <v>150</v>
      </c>
      <c r="H448" s="68">
        <v>150</v>
      </c>
    </row>
    <row r="449" spans="1:8" x14ac:dyDescent="0.25">
      <c r="A449" s="61" t="s">
        <v>487</v>
      </c>
      <c r="B449" s="61" t="s">
        <v>1334</v>
      </c>
      <c r="C449" s="62">
        <v>9000</v>
      </c>
      <c r="D449" s="62">
        <v>4000</v>
      </c>
      <c r="E449" s="62">
        <v>4000</v>
      </c>
      <c r="F449" s="62">
        <v>4000</v>
      </c>
      <c r="G449" s="68">
        <v>2500</v>
      </c>
      <c r="H449" s="68">
        <v>2500</v>
      </c>
    </row>
    <row r="450" spans="1:8" x14ac:dyDescent="0.25">
      <c r="A450" s="61" t="s">
        <v>488</v>
      </c>
      <c r="B450" s="61" t="s">
        <v>1334</v>
      </c>
      <c r="C450" s="62">
        <v>1699</v>
      </c>
      <c r="D450" s="62">
        <v>1980</v>
      </c>
      <c r="E450" s="62">
        <v>1980</v>
      </c>
      <c r="F450" s="62">
        <v>1980</v>
      </c>
      <c r="G450" s="68">
        <v>1699</v>
      </c>
      <c r="H450" s="68">
        <v>1699</v>
      </c>
    </row>
    <row r="451" spans="1:8" x14ac:dyDescent="0.25">
      <c r="A451" s="61" t="s">
        <v>489</v>
      </c>
      <c r="B451" s="61" t="s">
        <v>1335</v>
      </c>
      <c r="C451" s="62">
        <v>199</v>
      </c>
      <c r="D451" s="62">
        <v>300</v>
      </c>
      <c r="E451" s="62">
        <v>300</v>
      </c>
      <c r="F451" s="62">
        <v>300</v>
      </c>
      <c r="G451" s="68">
        <v>300</v>
      </c>
      <c r="H451" s="68">
        <v>300</v>
      </c>
    </row>
    <row r="452" spans="1:8" x14ac:dyDescent="0.25">
      <c r="A452" s="61" t="s">
        <v>490</v>
      </c>
      <c r="B452" s="61" t="s">
        <v>1335</v>
      </c>
      <c r="C452" s="62">
        <v>782</v>
      </c>
      <c r="D452" s="62">
        <v>660</v>
      </c>
      <c r="E452" s="62">
        <v>644.16999999999996</v>
      </c>
      <c r="F452" s="62">
        <v>644.16999999999996</v>
      </c>
      <c r="G452" s="68">
        <v>560</v>
      </c>
      <c r="H452" s="68">
        <v>560</v>
      </c>
    </row>
    <row r="453" spans="1:8" x14ac:dyDescent="0.25">
      <c r="A453" s="61" t="s">
        <v>491</v>
      </c>
      <c r="B453" s="61" t="s">
        <v>1335</v>
      </c>
      <c r="C453" s="62">
        <v>600</v>
      </c>
      <c r="D453" s="62">
        <v>600</v>
      </c>
      <c r="E453" s="62">
        <v>600</v>
      </c>
      <c r="F453" s="62">
        <v>600</v>
      </c>
      <c r="G453" s="68">
        <v>400</v>
      </c>
      <c r="H453" s="68">
        <v>400</v>
      </c>
    </row>
    <row r="454" spans="1:8" x14ac:dyDescent="0.25">
      <c r="A454" s="61" t="s">
        <v>492</v>
      </c>
      <c r="B454" s="61" t="s">
        <v>1335</v>
      </c>
      <c r="C454" s="62">
        <v>954</v>
      </c>
      <c r="D454" s="62" t="s">
        <v>0</v>
      </c>
      <c r="E454" s="62" t="s">
        <v>0</v>
      </c>
      <c r="F454" s="62" t="s">
        <v>0</v>
      </c>
      <c r="G454" s="68">
        <v>0</v>
      </c>
      <c r="H454" s="68">
        <v>0</v>
      </c>
    </row>
    <row r="455" spans="1:8" x14ac:dyDescent="0.25">
      <c r="A455" s="61" t="s">
        <v>493</v>
      </c>
      <c r="B455" s="61" t="s">
        <v>1336</v>
      </c>
      <c r="C455" s="62">
        <v>199</v>
      </c>
      <c r="D455" s="62">
        <v>300</v>
      </c>
      <c r="E455" s="62">
        <v>300</v>
      </c>
      <c r="F455" s="62">
        <v>290.39999999999998</v>
      </c>
      <c r="G455" s="68">
        <v>300</v>
      </c>
      <c r="H455" s="68">
        <v>300</v>
      </c>
    </row>
    <row r="456" spans="1:8" x14ac:dyDescent="0.25">
      <c r="A456" s="61" t="s">
        <v>494</v>
      </c>
      <c r="B456" s="61" t="s">
        <v>1336</v>
      </c>
      <c r="C456" s="62">
        <v>954</v>
      </c>
      <c r="D456" s="62">
        <v>660</v>
      </c>
      <c r="E456" s="62">
        <v>660</v>
      </c>
      <c r="F456" s="62">
        <v>660.01</v>
      </c>
      <c r="G456" s="68">
        <v>560</v>
      </c>
      <c r="H456" s="68">
        <v>560</v>
      </c>
    </row>
    <row r="457" spans="1:8" x14ac:dyDescent="0.25">
      <c r="A457" s="61" t="s">
        <v>495</v>
      </c>
      <c r="B457" s="61" t="s">
        <v>1337</v>
      </c>
      <c r="C457" s="62">
        <v>8949</v>
      </c>
      <c r="D457" s="62">
        <v>6500</v>
      </c>
      <c r="E457" s="62">
        <v>6500</v>
      </c>
      <c r="F457" s="62">
        <v>6500</v>
      </c>
      <c r="G457" s="68">
        <v>5500</v>
      </c>
      <c r="H457" s="68">
        <v>5500</v>
      </c>
    </row>
    <row r="458" spans="1:8" x14ac:dyDescent="0.25">
      <c r="A458" s="61" t="s">
        <v>496</v>
      </c>
      <c r="B458" s="61" t="s">
        <v>1337</v>
      </c>
      <c r="C458" s="62">
        <v>4144</v>
      </c>
      <c r="D458" s="62">
        <v>3097</v>
      </c>
      <c r="E458" s="62">
        <v>3017.59</v>
      </c>
      <c r="F458" s="62">
        <v>2945.02</v>
      </c>
      <c r="G458" s="68">
        <v>2097</v>
      </c>
      <c r="H458" s="68">
        <v>2097</v>
      </c>
    </row>
    <row r="459" spans="1:8" x14ac:dyDescent="0.25">
      <c r="A459" s="61" t="s">
        <v>497</v>
      </c>
      <c r="B459" s="61" t="s">
        <v>1338</v>
      </c>
      <c r="C459" s="62">
        <v>610</v>
      </c>
      <c r="D459" s="62">
        <v>1000</v>
      </c>
      <c r="E459" s="62">
        <v>1000</v>
      </c>
      <c r="F459" s="62">
        <v>1110.1099999999999</v>
      </c>
      <c r="G459" s="68">
        <v>750</v>
      </c>
      <c r="H459" s="68">
        <v>750</v>
      </c>
    </row>
    <row r="460" spans="1:8" x14ac:dyDescent="0.25">
      <c r="A460" s="61" t="s">
        <v>498</v>
      </c>
      <c r="B460" s="61" t="s">
        <v>1338</v>
      </c>
      <c r="C460" s="62">
        <v>2809</v>
      </c>
      <c r="D460" s="62">
        <v>2241</v>
      </c>
      <c r="E460" s="62">
        <v>2231.27</v>
      </c>
      <c r="F460" s="62">
        <v>2231.27</v>
      </c>
      <c r="G460" s="68">
        <v>2241</v>
      </c>
      <c r="H460" s="68">
        <v>2241</v>
      </c>
    </row>
    <row r="461" spans="1:8" x14ac:dyDescent="0.25">
      <c r="A461" s="61" t="s">
        <v>499</v>
      </c>
      <c r="B461" s="61" t="s">
        <v>1339</v>
      </c>
      <c r="C461" s="62">
        <v>48</v>
      </c>
      <c r="D461" s="62">
        <v>3000</v>
      </c>
      <c r="E461" s="62">
        <v>3000</v>
      </c>
      <c r="F461" s="62" t="s">
        <v>0</v>
      </c>
      <c r="G461" s="69"/>
      <c r="H461" s="69"/>
    </row>
    <row r="462" spans="1:8" x14ac:dyDescent="0.25">
      <c r="A462" s="61" t="s">
        <v>500</v>
      </c>
      <c r="B462" s="61" t="s">
        <v>1340</v>
      </c>
      <c r="C462" s="62">
        <v>945</v>
      </c>
      <c r="D462" s="62">
        <v>639</v>
      </c>
      <c r="E462" s="62" t="s">
        <v>0</v>
      </c>
      <c r="F462" s="62" t="s">
        <v>0</v>
      </c>
      <c r="G462" s="68">
        <v>639</v>
      </c>
      <c r="H462" s="68">
        <v>639</v>
      </c>
    </row>
    <row r="463" spans="1:8" x14ac:dyDescent="0.25">
      <c r="A463" s="61" t="s">
        <v>501</v>
      </c>
      <c r="B463" s="61" t="s">
        <v>1341</v>
      </c>
      <c r="C463" s="62">
        <v>110</v>
      </c>
      <c r="D463" s="62">
        <v>200</v>
      </c>
      <c r="E463" s="62">
        <v>200</v>
      </c>
      <c r="F463" s="62" t="s">
        <v>0</v>
      </c>
      <c r="G463" s="68">
        <v>200</v>
      </c>
      <c r="H463" s="68">
        <v>200</v>
      </c>
    </row>
    <row r="464" spans="1:8" x14ac:dyDescent="0.25">
      <c r="A464" s="61" t="s">
        <v>502</v>
      </c>
      <c r="B464" s="61" t="s">
        <v>1341</v>
      </c>
      <c r="C464" s="62">
        <v>95</v>
      </c>
      <c r="D464" s="62">
        <v>200</v>
      </c>
      <c r="E464" s="62">
        <v>200</v>
      </c>
      <c r="F464" s="62">
        <v>99.45</v>
      </c>
      <c r="G464" s="68">
        <v>200</v>
      </c>
      <c r="H464" s="68">
        <v>200</v>
      </c>
    </row>
    <row r="465" spans="1:8" x14ac:dyDescent="0.25">
      <c r="A465" s="61" t="s">
        <v>503</v>
      </c>
      <c r="B465" s="61" t="s">
        <v>1341</v>
      </c>
      <c r="C465" s="62">
        <v>950</v>
      </c>
      <c r="D465" s="62">
        <v>200</v>
      </c>
      <c r="E465" s="62">
        <v>200</v>
      </c>
      <c r="F465" s="62">
        <v>101.2</v>
      </c>
      <c r="G465" s="68">
        <v>200</v>
      </c>
      <c r="H465" s="68">
        <v>200</v>
      </c>
    </row>
    <row r="466" spans="1:8" x14ac:dyDescent="0.25">
      <c r="A466" s="61" t="s">
        <v>504</v>
      </c>
      <c r="B466" s="61" t="s">
        <v>1341</v>
      </c>
      <c r="C466" s="62">
        <v>200</v>
      </c>
      <c r="D466" s="62">
        <v>200</v>
      </c>
      <c r="E466" s="62">
        <v>200</v>
      </c>
      <c r="F466" s="62">
        <v>57.2</v>
      </c>
      <c r="G466" s="68">
        <v>200</v>
      </c>
      <c r="H466" s="68">
        <v>200</v>
      </c>
    </row>
    <row r="467" spans="1:8" x14ac:dyDescent="0.25">
      <c r="A467" s="61" t="s">
        <v>505</v>
      </c>
      <c r="B467" s="61" t="s">
        <v>1341</v>
      </c>
      <c r="C467" s="62">
        <v>200</v>
      </c>
      <c r="D467" s="62">
        <v>200</v>
      </c>
      <c r="E467" s="62">
        <v>200</v>
      </c>
      <c r="F467" s="62" t="s">
        <v>0</v>
      </c>
      <c r="G467" s="68">
        <v>300</v>
      </c>
      <c r="H467" s="68">
        <v>300</v>
      </c>
    </row>
    <row r="468" spans="1:8" x14ac:dyDescent="0.25">
      <c r="A468" s="61" t="s">
        <v>506</v>
      </c>
      <c r="B468" s="61" t="s">
        <v>1342</v>
      </c>
      <c r="C468" s="62">
        <v>790</v>
      </c>
      <c r="D468" s="62" t="s">
        <v>0</v>
      </c>
      <c r="E468" s="62" t="s">
        <v>0</v>
      </c>
      <c r="F468" s="62" t="s">
        <v>0</v>
      </c>
      <c r="G468" s="68">
        <v>0</v>
      </c>
      <c r="H468" s="68">
        <v>0</v>
      </c>
    </row>
    <row r="469" spans="1:8" x14ac:dyDescent="0.25">
      <c r="A469" s="61" t="s">
        <v>507</v>
      </c>
      <c r="B469" s="61" t="s">
        <v>1342</v>
      </c>
      <c r="C469" s="62">
        <v>41110</v>
      </c>
      <c r="D469" s="62" t="s">
        <v>0</v>
      </c>
      <c r="E469" s="62" t="s">
        <v>0</v>
      </c>
      <c r="F469" s="62" t="s">
        <v>0</v>
      </c>
      <c r="G469" s="68">
        <v>0</v>
      </c>
      <c r="H469" s="68">
        <v>0</v>
      </c>
    </row>
    <row r="470" spans="1:8" x14ac:dyDescent="0.25">
      <c r="A470" s="61" t="s">
        <v>508</v>
      </c>
      <c r="B470" s="61" t="s">
        <v>1343</v>
      </c>
      <c r="C470" s="62">
        <v>2981</v>
      </c>
      <c r="D470" s="62">
        <v>2800</v>
      </c>
      <c r="E470" s="62">
        <v>2800</v>
      </c>
      <c r="F470" s="62">
        <v>1672.38</v>
      </c>
      <c r="G470" s="68">
        <v>3000</v>
      </c>
      <c r="H470" s="68">
        <v>3000</v>
      </c>
    </row>
    <row r="471" spans="1:8" x14ac:dyDescent="0.25">
      <c r="A471" s="61" t="s">
        <v>509</v>
      </c>
      <c r="B471" s="61" t="s">
        <v>1344</v>
      </c>
      <c r="C471" s="62">
        <v>636</v>
      </c>
      <c r="D471" s="62">
        <v>713</v>
      </c>
      <c r="E471" s="62">
        <v>713</v>
      </c>
      <c r="F471" s="62">
        <v>691.79</v>
      </c>
      <c r="G471" s="68">
        <v>513</v>
      </c>
      <c r="H471" s="68">
        <v>513</v>
      </c>
    </row>
    <row r="472" spans="1:8" x14ac:dyDescent="0.25">
      <c r="A472" s="61" t="s">
        <v>510</v>
      </c>
      <c r="B472" s="61" t="s">
        <v>1345</v>
      </c>
      <c r="C472" s="62">
        <v>3697</v>
      </c>
      <c r="D472" s="62">
        <v>2500</v>
      </c>
      <c r="E472" s="62">
        <v>2500</v>
      </c>
      <c r="F472" s="62">
        <v>385</v>
      </c>
      <c r="G472" s="68">
        <v>2000</v>
      </c>
      <c r="H472" s="68">
        <v>2000</v>
      </c>
    </row>
    <row r="473" spans="1:8" x14ac:dyDescent="0.25">
      <c r="A473" s="61" t="s">
        <v>511</v>
      </c>
      <c r="B473" s="61" t="s">
        <v>1346</v>
      </c>
      <c r="C473" s="62">
        <v>3680</v>
      </c>
      <c r="D473" s="62">
        <v>3150</v>
      </c>
      <c r="E473" s="62">
        <v>3150</v>
      </c>
      <c r="F473" s="62">
        <v>1741.22</v>
      </c>
      <c r="G473" s="68">
        <v>2000</v>
      </c>
      <c r="H473" s="68">
        <v>2000</v>
      </c>
    </row>
    <row r="474" spans="1:8" x14ac:dyDescent="0.25">
      <c r="A474" s="61" t="s">
        <v>512</v>
      </c>
      <c r="B474" s="61" t="s">
        <v>1347</v>
      </c>
      <c r="C474" s="62">
        <v>666</v>
      </c>
      <c r="D474" s="62">
        <v>1500</v>
      </c>
      <c r="E474" s="62">
        <v>1500</v>
      </c>
      <c r="F474" s="62">
        <v>1293.95</v>
      </c>
      <c r="G474" s="68">
        <v>1200</v>
      </c>
      <c r="H474" s="68">
        <v>1200</v>
      </c>
    </row>
    <row r="475" spans="1:8" x14ac:dyDescent="0.25">
      <c r="A475" s="61" t="s">
        <v>513</v>
      </c>
      <c r="B475" s="61" t="s">
        <v>1348</v>
      </c>
      <c r="C475" s="62">
        <v>2500</v>
      </c>
      <c r="D475" s="62">
        <v>1500</v>
      </c>
      <c r="E475" s="62">
        <v>1500</v>
      </c>
      <c r="F475" s="62">
        <v>1456.32</v>
      </c>
      <c r="G475" s="68">
        <v>1200</v>
      </c>
      <c r="H475" s="68">
        <v>1200</v>
      </c>
    </row>
    <row r="476" spans="1:8" x14ac:dyDescent="0.25">
      <c r="A476" s="61" t="s">
        <v>514</v>
      </c>
      <c r="B476" s="61" t="s">
        <v>1349</v>
      </c>
      <c r="C476" s="62">
        <v>379</v>
      </c>
      <c r="D476" s="62">
        <v>5000</v>
      </c>
      <c r="E476" s="62">
        <v>5000</v>
      </c>
      <c r="F476" s="62">
        <v>3305.96</v>
      </c>
      <c r="G476" s="68">
        <v>3900</v>
      </c>
      <c r="H476" s="68">
        <v>3900</v>
      </c>
    </row>
    <row r="477" spans="1:8" x14ac:dyDescent="0.25">
      <c r="A477" s="61" t="s">
        <v>515</v>
      </c>
      <c r="B477" s="61" t="s">
        <v>1350</v>
      </c>
      <c r="C477" s="62">
        <v>3443</v>
      </c>
      <c r="D477" s="62">
        <v>4500</v>
      </c>
      <c r="E477" s="62">
        <v>4500</v>
      </c>
      <c r="F477" s="62">
        <v>4285.13</v>
      </c>
      <c r="G477" s="68">
        <v>4300</v>
      </c>
      <c r="H477" s="68">
        <v>4300</v>
      </c>
    </row>
    <row r="478" spans="1:8" x14ac:dyDescent="0.25">
      <c r="A478" s="61" t="s">
        <v>516</v>
      </c>
      <c r="B478" s="61" t="s">
        <v>1351</v>
      </c>
      <c r="C478" s="62">
        <v>91</v>
      </c>
      <c r="D478" s="62" t="s">
        <v>0</v>
      </c>
      <c r="E478" s="62" t="s">
        <v>0</v>
      </c>
      <c r="F478" s="62" t="s">
        <v>0</v>
      </c>
      <c r="G478" s="63">
        <v>0</v>
      </c>
      <c r="H478" s="63">
        <v>0</v>
      </c>
    </row>
    <row r="479" spans="1:8" x14ac:dyDescent="0.25">
      <c r="A479" s="61" t="s">
        <v>517</v>
      </c>
      <c r="B479" s="61" t="s">
        <v>1352</v>
      </c>
      <c r="C479" s="62">
        <v>4217</v>
      </c>
      <c r="D479" s="62">
        <v>2541</v>
      </c>
      <c r="E479" s="62">
        <v>2541</v>
      </c>
      <c r="F479" s="62">
        <v>2565.9</v>
      </c>
      <c r="G479" s="63">
        <v>2000</v>
      </c>
      <c r="H479" s="63">
        <v>2000</v>
      </c>
    </row>
    <row r="480" spans="1:8" x14ac:dyDescent="0.25">
      <c r="A480" s="61" t="s">
        <v>518</v>
      </c>
      <c r="B480" s="61" t="s">
        <v>1353</v>
      </c>
      <c r="C480" s="62">
        <v>1000</v>
      </c>
      <c r="D480" s="62">
        <v>900</v>
      </c>
      <c r="E480" s="62">
        <v>900</v>
      </c>
      <c r="F480" s="62">
        <v>900</v>
      </c>
      <c r="G480" s="63">
        <v>900</v>
      </c>
      <c r="H480" s="63">
        <v>900</v>
      </c>
    </row>
    <row r="481" spans="1:10" x14ac:dyDescent="0.25">
      <c r="A481" s="61" t="s">
        <v>519</v>
      </c>
      <c r="B481" s="61" t="s">
        <v>1354</v>
      </c>
      <c r="C481" s="62">
        <v>13</v>
      </c>
      <c r="D481" s="62" t="s">
        <v>0</v>
      </c>
      <c r="E481" s="62" t="s">
        <v>0</v>
      </c>
      <c r="F481" s="62" t="s">
        <v>0</v>
      </c>
      <c r="G481" s="63">
        <v>0</v>
      </c>
      <c r="H481" s="63">
        <v>0</v>
      </c>
    </row>
    <row r="482" spans="1:10" x14ac:dyDescent="0.25">
      <c r="A482" s="61" t="s">
        <v>520</v>
      </c>
      <c r="B482" s="61" t="s">
        <v>1355</v>
      </c>
      <c r="C482" s="62" t="s">
        <v>0</v>
      </c>
      <c r="D482" s="62">
        <v>200</v>
      </c>
      <c r="E482" s="62">
        <v>200</v>
      </c>
      <c r="F482" s="62">
        <v>198.46</v>
      </c>
      <c r="G482" s="63">
        <v>200</v>
      </c>
      <c r="H482" s="63">
        <v>200</v>
      </c>
    </row>
    <row r="483" spans="1:10" x14ac:dyDescent="0.25">
      <c r="A483" s="61" t="s">
        <v>521</v>
      </c>
      <c r="B483" s="61" t="s">
        <v>1356</v>
      </c>
      <c r="C483" s="62" t="s">
        <v>0</v>
      </c>
      <c r="D483" s="62">
        <v>1000</v>
      </c>
      <c r="E483" s="62">
        <v>1000</v>
      </c>
      <c r="F483" s="62">
        <v>979.14</v>
      </c>
      <c r="G483" s="63">
        <v>1000</v>
      </c>
      <c r="H483" s="63">
        <v>1000</v>
      </c>
    </row>
    <row r="484" spans="1:10" x14ac:dyDescent="0.25">
      <c r="A484" s="61" t="s">
        <v>522</v>
      </c>
      <c r="B484" s="61" t="s">
        <v>1357</v>
      </c>
      <c r="C484" s="62">
        <v>1705</v>
      </c>
      <c r="D484" s="62">
        <v>3300</v>
      </c>
      <c r="E484" s="62">
        <v>1214.5999999999999</v>
      </c>
      <c r="F484" s="62">
        <v>1214.5999999999999</v>
      </c>
      <c r="G484" s="63">
        <v>2000</v>
      </c>
      <c r="H484" s="63">
        <v>2000</v>
      </c>
    </row>
    <row r="485" spans="1:10" ht="15.75" thickBot="1" x14ac:dyDescent="0.3">
      <c r="A485" s="61" t="s">
        <v>523</v>
      </c>
      <c r="B485" s="61" t="s">
        <v>439</v>
      </c>
      <c r="C485" s="65">
        <v>6206</v>
      </c>
      <c r="D485" s="65">
        <v>4000</v>
      </c>
      <c r="E485" s="65">
        <v>4000</v>
      </c>
      <c r="F485" s="65">
        <v>802.31</v>
      </c>
      <c r="G485" s="66">
        <v>3500</v>
      </c>
      <c r="H485" s="66">
        <v>3500</v>
      </c>
    </row>
    <row r="486" spans="1:10" s="3" customFormat="1" x14ac:dyDescent="0.25">
      <c r="B486" s="3" t="s">
        <v>1320</v>
      </c>
      <c r="C486" s="6">
        <f>SUM(C387:C485)</f>
        <v>377439</v>
      </c>
      <c r="D486" s="6">
        <f t="shared" ref="D486:H486" si="5">SUM(D387:D485)</f>
        <v>445609</v>
      </c>
      <c r="E486" s="6">
        <f t="shared" si="5"/>
        <v>767847.02</v>
      </c>
      <c r="F486" s="6">
        <f t="shared" si="5"/>
        <v>496618.81000000017</v>
      </c>
      <c r="G486" s="8">
        <f t="shared" si="5"/>
        <v>383927</v>
      </c>
      <c r="H486" s="8">
        <f t="shared" si="5"/>
        <v>383927</v>
      </c>
      <c r="J486"/>
    </row>
    <row r="487" spans="1:10" x14ac:dyDescent="0.25">
      <c r="C487" s="4"/>
      <c r="D487" s="4"/>
      <c r="E487" s="4"/>
      <c r="F487" s="4"/>
    </row>
    <row r="488" spans="1:10" x14ac:dyDescent="0.25">
      <c r="A488" s="61" t="s">
        <v>524</v>
      </c>
      <c r="B488" s="61" t="s">
        <v>1358</v>
      </c>
      <c r="C488" s="62" t="s">
        <v>0</v>
      </c>
      <c r="D488" s="62" t="s">
        <v>0</v>
      </c>
      <c r="E488" s="62" t="s">
        <v>0</v>
      </c>
      <c r="F488" s="62">
        <v>4307.9799999999996</v>
      </c>
      <c r="G488" s="63">
        <v>0</v>
      </c>
      <c r="H488" s="63">
        <v>0</v>
      </c>
    </row>
    <row r="489" spans="1:10" x14ac:dyDescent="0.25">
      <c r="A489" s="61" t="s">
        <v>526</v>
      </c>
      <c r="B489" s="61" t="s">
        <v>1361</v>
      </c>
      <c r="C489" s="62" t="s">
        <v>0</v>
      </c>
      <c r="D489" s="62">
        <v>100</v>
      </c>
      <c r="E489" s="62">
        <v>100</v>
      </c>
      <c r="F489" s="62">
        <v>0</v>
      </c>
      <c r="G489" s="63">
        <v>0</v>
      </c>
      <c r="H489" s="63">
        <v>0</v>
      </c>
    </row>
    <row r="490" spans="1:10" x14ac:dyDescent="0.25">
      <c r="A490" s="61" t="s">
        <v>527</v>
      </c>
      <c r="B490" s="61" t="s">
        <v>1361</v>
      </c>
      <c r="C490" s="62" t="s">
        <v>0</v>
      </c>
      <c r="D490" s="62">
        <v>100</v>
      </c>
      <c r="E490" s="62">
        <v>100</v>
      </c>
      <c r="F490" s="62">
        <v>0</v>
      </c>
      <c r="G490" s="63">
        <v>0</v>
      </c>
      <c r="H490" s="63">
        <v>0</v>
      </c>
    </row>
    <row r="491" spans="1:10" x14ac:dyDescent="0.25">
      <c r="A491" s="61" t="s">
        <v>528</v>
      </c>
      <c r="B491" s="61" t="s">
        <v>1361</v>
      </c>
      <c r="C491" s="62" t="s">
        <v>0</v>
      </c>
      <c r="D491" s="62">
        <v>100</v>
      </c>
      <c r="E491" s="62">
        <v>100</v>
      </c>
      <c r="F491" s="62">
        <v>0</v>
      </c>
      <c r="G491" s="63">
        <v>0</v>
      </c>
      <c r="H491" s="63">
        <v>0</v>
      </c>
    </row>
    <row r="492" spans="1:10" x14ac:dyDescent="0.25">
      <c r="A492" s="61" t="s">
        <v>529</v>
      </c>
      <c r="B492" s="61" t="s">
        <v>1361</v>
      </c>
      <c r="C492" s="62" t="s">
        <v>0</v>
      </c>
      <c r="D492" s="62">
        <v>100</v>
      </c>
      <c r="E492" s="62">
        <v>100</v>
      </c>
      <c r="F492" s="62">
        <v>0</v>
      </c>
      <c r="G492" s="63">
        <v>0</v>
      </c>
      <c r="H492" s="63">
        <v>0</v>
      </c>
    </row>
    <row r="493" spans="1:10" x14ac:dyDescent="0.25">
      <c r="A493" s="61" t="s">
        <v>530</v>
      </c>
      <c r="B493" s="61" t="s">
        <v>1362</v>
      </c>
      <c r="C493" s="62">
        <v>22</v>
      </c>
      <c r="D493" s="62">
        <v>100</v>
      </c>
      <c r="E493" s="62">
        <v>100</v>
      </c>
      <c r="F493" s="62">
        <v>0</v>
      </c>
      <c r="G493" s="63">
        <v>200</v>
      </c>
      <c r="H493" s="63">
        <v>200</v>
      </c>
    </row>
    <row r="494" spans="1:10" x14ac:dyDescent="0.25">
      <c r="A494" s="61" t="s">
        <v>531</v>
      </c>
      <c r="B494" s="61" t="s">
        <v>1363</v>
      </c>
      <c r="C494" s="62" t="s">
        <v>0</v>
      </c>
      <c r="D494" s="62">
        <v>100</v>
      </c>
      <c r="E494" s="62">
        <v>100</v>
      </c>
      <c r="F494" s="62">
        <v>0</v>
      </c>
      <c r="G494" s="63">
        <v>75</v>
      </c>
      <c r="H494" s="63">
        <v>75</v>
      </c>
    </row>
    <row r="495" spans="1:10" x14ac:dyDescent="0.25">
      <c r="A495" s="61" t="s">
        <v>532</v>
      </c>
      <c r="B495" s="61" t="s">
        <v>1363</v>
      </c>
      <c r="C495" s="62" t="s">
        <v>0</v>
      </c>
      <c r="D495" s="62">
        <v>50</v>
      </c>
      <c r="E495" s="62">
        <v>50</v>
      </c>
      <c r="F495" s="62">
        <v>0</v>
      </c>
      <c r="G495" s="63">
        <v>40</v>
      </c>
      <c r="H495" s="63">
        <v>40</v>
      </c>
    </row>
    <row r="496" spans="1:10" x14ac:dyDescent="0.25">
      <c r="A496" s="61" t="s">
        <v>533</v>
      </c>
      <c r="B496" s="61" t="s">
        <v>1363</v>
      </c>
      <c r="C496" s="62" t="s">
        <v>0</v>
      </c>
      <c r="D496" s="62">
        <v>50</v>
      </c>
      <c r="E496" s="62">
        <v>50</v>
      </c>
      <c r="F496" s="62">
        <v>0</v>
      </c>
      <c r="G496" s="63">
        <v>40</v>
      </c>
      <c r="H496" s="63">
        <v>40</v>
      </c>
    </row>
    <row r="497" spans="1:10" x14ac:dyDescent="0.25">
      <c r="A497" s="61" t="s">
        <v>534</v>
      </c>
      <c r="B497" s="61" t="s">
        <v>1363</v>
      </c>
      <c r="C497" s="62" t="s">
        <v>0</v>
      </c>
      <c r="D497" s="62">
        <v>50</v>
      </c>
      <c r="E497" s="62">
        <v>50</v>
      </c>
      <c r="F497" s="62">
        <v>0</v>
      </c>
      <c r="G497" s="63">
        <v>40</v>
      </c>
      <c r="H497" s="63">
        <v>40</v>
      </c>
    </row>
    <row r="498" spans="1:10" x14ac:dyDescent="0.25">
      <c r="A498" s="61" t="s">
        <v>535</v>
      </c>
      <c r="B498" s="61" t="s">
        <v>536</v>
      </c>
      <c r="C498" s="62">
        <v>479</v>
      </c>
      <c r="D498" s="62">
        <v>1000</v>
      </c>
      <c r="E498" s="62">
        <v>1000</v>
      </c>
      <c r="F498" s="62">
        <v>0</v>
      </c>
      <c r="G498" s="63">
        <v>1000</v>
      </c>
      <c r="H498" s="63">
        <v>1000</v>
      </c>
    </row>
    <row r="499" spans="1:10" x14ac:dyDescent="0.25">
      <c r="A499" s="61" t="s">
        <v>537</v>
      </c>
      <c r="B499" s="61" t="s">
        <v>536</v>
      </c>
      <c r="C499" s="62">
        <v>636</v>
      </c>
      <c r="D499" s="62">
        <v>1980</v>
      </c>
      <c r="E499" s="62" t="s">
        <v>0</v>
      </c>
      <c r="F499" s="62">
        <v>0</v>
      </c>
      <c r="G499" s="63">
        <v>1200</v>
      </c>
      <c r="H499" s="63">
        <v>1200</v>
      </c>
    </row>
    <row r="500" spans="1:10" x14ac:dyDescent="0.25">
      <c r="A500" s="61" t="s">
        <v>538</v>
      </c>
      <c r="B500" s="61" t="s">
        <v>536</v>
      </c>
      <c r="C500" s="62">
        <v>1135</v>
      </c>
      <c r="D500" s="62">
        <v>700</v>
      </c>
      <c r="E500" s="62">
        <v>700</v>
      </c>
      <c r="F500" s="62">
        <v>91.48</v>
      </c>
      <c r="G500" s="63">
        <v>1500</v>
      </c>
      <c r="H500" s="63">
        <v>1500</v>
      </c>
    </row>
    <row r="501" spans="1:10" x14ac:dyDescent="0.25">
      <c r="A501" s="61" t="s">
        <v>539</v>
      </c>
      <c r="B501" s="61" t="s">
        <v>1364</v>
      </c>
      <c r="C501" s="62" t="s">
        <v>0</v>
      </c>
      <c r="D501" s="62">
        <v>125</v>
      </c>
      <c r="E501" s="62">
        <v>125</v>
      </c>
      <c r="F501" s="62">
        <v>0</v>
      </c>
      <c r="G501" s="63">
        <v>125</v>
      </c>
      <c r="H501" s="63">
        <v>125</v>
      </c>
    </row>
    <row r="502" spans="1:10" x14ac:dyDescent="0.25">
      <c r="A502" s="61" t="s">
        <v>540</v>
      </c>
      <c r="B502" s="61" t="s">
        <v>1364</v>
      </c>
      <c r="C502" s="62" t="s">
        <v>0</v>
      </c>
      <c r="D502" s="62">
        <v>125</v>
      </c>
      <c r="E502" s="62">
        <v>125</v>
      </c>
      <c r="F502" s="62">
        <v>125</v>
      </c>
      <c r="G502" s="63">
        <v>125</v>
      </c>
      <c r="H502" s="63">
        <v>125</v>
      </c>
    </row>
    <row r="503" spans="1:10" x14ac:dyDescent="0.25">
      <c r="A503" s="61" t="s">
        <v>541</v>
      </c>
      <c r="B503" s="61" t="s">
        <v>1364</v>
      </c>
      <c r="C503" s="62" t="s">
        <v>0</v>
      </c>
      <c r="D503" s="62">
        <v>125</v>
      </c>
      <c r="E503" s="62">
        <v>125</v>
      </c>
      <c r="F503" s="62">
        <v>0</v>
      </c>
      <c r="G503" s="63">
        <v>125</v>
      </c>
      <c r="H503" s="63">
        <v>125</v>
      </c>
    </row>
    <row r="504" spans="1:10" x14ac:dyDescent="0.25">
      <c r="A504" s="61" t="s">
        <v>542</v>
      </c>
      <c r="B504" s="61" t="s">
        <v>1364</v>
      </c>
      <c r="C504" s="62" t="s">
        <v>0</v>
      </c>
      <c r="D504" s="62">
        <v>125</v>
      </c>
      <c r="E504" s="62">
        <v>125</v>
      </c>
      <c r="F504" s="62">
        <v>0</v>
      </c>
      <c r="G504" s="63">
        <v>125</v>
      </c>
      <c r="H504" s="63">
        <v>125</v>
      </c>
    </row>
    <row r="505" spans="1:10" x14ac:dyDescent="0.25">
      <c r="A505" s="61" t="s">
        <v>543</v>
      </c>
      <c r="B505" s="61" t="s">
        <v>1365</v>
      </c>
      <c r="C505" s="62">
        <v>1000</v>
      </c>
      <c r="D505" s="62">
        <v>1000</v>
      </c>
      <c r="E505" s="62">
        <v>1000</v>
      </c>
      <c r="F505" s="62">
        <v>0</v>
      </c>
      <c r="G505" s="63">
        <v>500</v>
      </c>
      <c r="H505" s="63">
        <v>500</v>
      </c>
    </row>
    <row r="506" spans="1:10" x14ac:dyDescent="0.25">
      <c r="A506" s="61" t="s">
        <v>544</v>
      </c>
      <c r="B506" s="61" t="s">
        <v>545</v>
      </c>
      <c r="C506" s="62" t="s">
        <v>0</v>
      </c>
      <c r="D506" s="62">
        <v>1750</v>
      </c>
      <c r="E506" s="62">
        <v>1750</v>
      </c>
      <c r="F506" s="62">
        <v>0</v>
      </c>
      <c r="G506" s="63">
        <v>1400</v>
      </c>
      <c r="H506" s="63">
        <v>1400</v>
      </c>
    </row>
    <row r="507" spans="1:10" ht="15.75" thickBot="1" x14ac:dyDescent="0.3">
      <c r="A507" s="61" t="s">
        <v>546</v>
      </c>
      <c r="B507" s="61" t="s">
        <v>545</v>
      </c>
      <c r="C507" s="65">
        <v>180</v>
      </c>
      <c r="D507" s="65">
        <v>140</v>
      </c>
      <c r="E507" s="65">
        <v>140</v>
      </c>
      <c r="F507" s="65">
        <v>0</v>
      </c>
      <c r="G507" s="66">
        <v>200</v>
      </c>
      <c r="H507" s="66">
        <v>200</v>
      </c>
    </row>
    <row r="508" spans="1:10" s="3" customFormat="1" x14ac:dyDescent="0.25">
      <c r="B508" s="3" t="s">
        <v>1359</v>
      </c>
      <c r="C508" s="6">
        <f>SUM(C493:C507)</f>
        <v>3452</v>
      </c>
      <c r="D508" s="6">
        <f>SUM(D488:D507)</f>
        <v>7820</v>
      </c>
      <c r="E508" s="6">
        <f>SUM(E488:E507)</f>
        <v>5840</v>
      </c>
      <c r="F508" s="6">
        <f t="shared" ref="F508:H508" si="6">SUM(F488:F507)</f>
        <v>4524.4599999999991</v>
      </c>
      <c r="G508" s="8">
        <f t="shared" si="6"/>
        <v>6695</v>
      </c>
      <c r="H508" s="8">
        <f t="shared" si="6"/>
        <v>6695</v>
      </c>
      <c r="J508"/>
    </row>
    <row r="509" spans="1:10" x14ac:dyDescent="0.25">
      <c r="C509" s="4"/>
      <c r="D509" s="4"/>
      <c r="E509" s="4"/>
      <c r="F509" s="4"/>
    </row>
    <row r="510" spans="1:10" s="3" customFormat="1" x14ac:dyDescent="0.25">
      <c r="A510" s="3" t="s">
        <v>548</v>
      </c>
      <c r="B510" s="3" t="s">
        <v>1360</v>
      </c>
      <c r="C510" s="6">
        <v>13065714</v>
      </c>
      <c r="D510" s="6">
        <v>13726833</v>
      </c>
      <c r="E510" s="6">
        <v>13730566</v>
      </c>
      <c r="F510" s="6">
        <v>11210110.08</v>
      </c>
      <c r="G510" s="14">
        <f>G508+G486+G385+G345</f>
        <v>11309358.119749997</v>
      </c>
      <c r="H510" s="14">
        <f>H508+H486+H385+H345</f>
        <v>11582413.936462689</v>
      </c>
      <c r="J510"/>
    </row>
    <row r="511" spans="1:10" x14ac:dyDescent="0.25">
      <c r="C511" s="4"/>
      <c r="D511" s="4"/>
      <c r="E511" s="4"/>
      <c r="F511" s="4"/>
    </row>
    <row r="512" spans="1:10" x14ac:dyDescent="0.25">
      <c r="C512" s="4"/>
      <c r="D512" s="4"/>
      <c r="E512" s="4"/>
      <c r="F512" s="4"/>
    </row>
    <row r="513" spans="1:8" x14ac:dyDescent="0.25">
      <c r="A513" s="75" t="s">
        <v>549</v>
      </c>
      <c r="B513" s="75" t="s">
        <v>49</v>
      </c>
      <c r="C513" s="63" t="s">
        <v>0</v>
      </c>
      <c r="D513" s="63">
        <v>1000</v>
      </c>
      <c r="E513" s="63">
        <v>1000</v>
      </c>
      <c r="F513" s="63" t="s">
        <v>0</v>
      </c>
      <c r="G513" s="63">
        <v>0</v>
      </c>
      <c r="H513" s="63">
        <v>0</v>
      </c>
    </row>
    <row r="514" spans="1:8" x14ac:dyDescent="0.25">
      <c r="A514" s="75" t="s">
        <v>550</v>
      </c>
      <c r="B514" s="75" t="s">
        <v>49</v>
      </c>
      <c r="C514" s="63" t="s">
        <v>0</v>
      </c>
      <c r="D514" s="63">
        <v>1000</v>
      </c>
      <c r="E514" s="63">
        <v>1000</v>
      </c>
      <c r="F514" s="63" t="s">
        <v>0</v>
      </c>
      <c r="G514" s="63">
        <v>0</v>
      </c>
      <c r="H514" s="63">
        <v>0</v>
      </c>
    </row>
    <row r="515" spans="1:8" x14ac:dyDescent="0.25">
      <c r="A515" s="75" t="s">
        <v>551</v>
      </c>
      <c r="B515" s="75" t="s">
        <v>49</v>
      </c>
      <c r="C515" s="63" t="s">
        <v>0</v>
      </c>
      <c r="D515" s="63">
        <v>500</v>
      </c>
      <c r="E515" s="63">
        <v>500</v>
      </c>
      <c r="F515" s="63">
        <v>990</v>
      </c>
      <c r="G515" s="63">
        <v>500</v>
      </c>
      <c r="H515" s="63">
        <v>500</v>
      </c>
    </row>
    <row r="516" spans="1:8" x14ac:dyDescent="0.25">
      <c r="A516" s="75" t="s">
        <v>552</v>
      </c>
      <c r="B516" s="75" t="s">
        <v>49</v>
      </c>
      <c r="C516" s="63" t="s">
        <v>0</v>
      </c>
      <c r="D516" s="63">
        <v>500</v>
      </c>
      <c r="E516" s="63">
        <v>500</v>
      </c>
      <c r="F516" s="63">
        <v>110</v>
      </c>
      <c r="G516" s="63">
        <v>500</v>
      </c>
      <c r="H516" s="63">
        <v>500</v>
      </c>
    </row>
    <row r="517" spans="1:8" x14ac:dyDescent="0.25">
      <c r="A517" s="61" t="s">
        <v>553</v>
      </c>
      <c r="B517" s="61" t="s">
        <v>72</v>
      </c>
      <c r="C517" s="62">
        <v>29800</v>
      </c>
      <c r="D517" s="62">
        <v>29330</v>
      </c>
      <c r="E517" s="62">
        <v>29330</v>
      </c>
      <c r="F517" s="62">
        <v>26885.43</v>
      </c>
      <c r="G517" s="63">
        <f>29329.5</f>
        <v>29329.5</v>
      </c>
      <c r="H517" s="77">
        <f>G517+(G517*3%)</f>
        <v>30209.384999999998</v>
      </c>
    </row>
    <row r="518" spans="1:8" x14ac:dyDescent="0.25">
      <c r="A518" s="61" t="s">
        <v>554</v>
      </c>
      <c r="B518" s="61" t="s">
        <v>72</v>
      </c>
      <c r="C518" s="62">
        <v>29800</v>
      </c>
      <c r="D518" s="62">
        <v>29330</v>
      </c>
      <c r="E518" s="62">
        <v>29330</v>
      </c>
      <c r="F518" s="62">
        <v>26885.32</v>
      </c>
      <c r="G518" s="63">
        <f>29329.5</f>
        <v>29329.5</v>
      </c>
      <c r="H518" s="77">
        <f t="shared" ref="H518:H521" si="7">G518+(G518*3%)</f>
        <v>30209.384999999998</v>
      </c>
    </row>
    <row r="519" spans="1:8" x14ac:dyDescent="0.25">
      <c r="A519" s="61" t="s">
        <v>555</v>
      </c>
      <c r="B519" s="61" t="s">
        <v>72</v>
      </c>
      <c r="C519" s="62">
        <v>28530</v>
      </c>
      <c r="D519" s="62">
        <v>28080</v>
      </c>
      <c r="E519" s="62">
        <v>28080</v>
      </c>
      <c r="F519" s="62">
        <v>28154.58</v>
      </c>
      <c r="G519" s="63">
        <v>0</v>
      </c>
      <c r="H519" s="77">
        <f t="shared" si="7"/>
        <v>0</v>
      </c>
    </row>
    <row r="520" spans="1:8" x14ac:dyDescent="0.25">
      <c r="A520" s="61" t="s">
        <v>556</v>
      </c>
      <c r="B520" s="61" t="s">
        <v>72</v>
      </c>
      <c r="C520" s="62">
        <v>28530</v>
      </c>
      <c r="D520" s="62">
        <v>28080</v>
      </c>
      <c r="E520" s="62">
        <v>28080</v>
      </c>
      <c r="F520" s="62">
        <v>28154.58</v>
      </c>
      <c r="G520" s="63">
        <v>0</v>
      </c>
      <c r="H520" s="77">
        <f t="shared" si="7"/>
        <v>0</v>
      </c>
    </row>
    <row r="521" spans="1:8" x14ac:dyDescent="0.25">
      <c r="A521" s="61" t="s">
        <v>557</v>
      </c>
      <c r="B521" s="61" t="s">
        <v>72</v>
      </c>
      <c r="C521" s="62">
        <v>158981</v>
      </c>
      <c r="D521" s="62">
        <v>129836</v>
      </c>
      <c r="E521" s="62">
        <v>129836</v>
      </c>
      <c r="F521" s="62">
        <v>119717.91</v>
      </c>
      <c r="G521" s="63">
        <f>83437.08+54800.64</f>
        <v>138237.72</v>
      </c>
      <c r="H521" s="77">
        <f t="shared" si="7"/>
        <v>142384.85159999999</v>
      </c>
    </row>
    <row r="522" spans="1:8" x14ac:dyDescent="0.25">
      <c r="A522" s="75" t="s">
        <v>558</v>
      </c>
      <c r="B522" s="75" t="s">
        <v>109</v>
      </c>
      <c r="C522" s="63" t="s">
        <v>0</v>
      </c>
      <c r="D522" s="63" t="s">
        <v>0</v>
      </c>
      <c r="E522" s="63" t="s">
        <v>0</v>
      </c>
      <c r="F522" s="63">
        <v>2.99</v>
      </c>
      <c r="G522" s="63">
        <v>0</v>
      </c>
      <c r="H522" s="63">
        <v>0</v>
      </c>
    </row>
    <row r="523" spans="1:8" x14ac:dyDescent="0.25">
      <c r="A523" s="75" t="s">
        <v>559</v>
      </c>
      <c r="B523" s="75" t="s">
        <v>109</v>
      </c>
      <c r="C523" s="63">
        <v>3</v>
      </c>
      <c r="D523" s="63" t="s">
        <v>0</v>
      </c>
      <c r="E523" s="63" t="s">
        <v>0</v>
      </c>
      <c r="F523" s="63">
        <v>16.79</v>
      </c>
      <c r="G523" s="63">
        <v>0</v>
      </c>
      <c r="H523" s="63">
        <v>0</v>
      </c>
    </row>
    <row r="524" spans="1:8" x14ac:dyDescent="0.25">
      <c r="A524" s="75" t="s">
        <v>560</v>
      </c>
      <c r="B524" s="75" t="s">
        <v>109</v>
      </c>
      <c r="C524" s="63">
        <v>16</v>
      </c>
      <c r="D524" s="63" t="s">
        <v>0</v>
      </c>
      <c r="E524" s="63" t="s">
        <v>0</v>
      </c>
      <c r="F524" s="63" t="s">
        <v>0</v>
      </c>
      <c r="G524" s="63">
        <v>0</v>
      </c>
      <c r="H524" s="63">
        <v>0</v>
      </c>
    </row>
    <row r="525" spans="1:8" x14ac:dyDescent="0.25">
      <c r="A525" s="75" t="s">
        <v>561</v>
      </c>
      <c r="B525" s="75" t="s">
        <v>109</v>
      </c>
      <c r="C525" s="63">
        <v>10</v>
      </c>
      <c r="D525" s="63" t="s">
        <v>0</v>
      </c>
      <c r="E525" s="63" t="s">
        <v>0</v>
      </c>
      <c r="F525" s="63">
        <v>58.78</v>
      </c>
      <c r="G525" s="63">
        <v>0</v>
      </c>
      <c r="H525" s="63">
        <v>0</v>
      </c>
    </row>
    <row r="526" spans="1:8" x14ac:dyDescent="0.25">
      <c r="A526" s="75" t="s">
        <v>562</v>
      </c>
      <c r="B526" s="75" t="s">
        <v>109</v>
      </c>
      <c r="C526" s="63" t="s">
        <v>0</v>
      </c>
      <c r="D526" s="63">
        <v>1000</v>
      </c>
      <c r="E526" s="63">
        <v>1000</v>
      </c>
      <c r="F526" s="63" t="s">
        <v>0</v>
      </c>
      <c r="G526" s="63">
        <v>0</v>
      </c>
      <c r="H526" s="63">
        <v>0</v>
      </c>
    </row>
    <row r="527" spans="1:8" x14ac:dyDescent="0.25">
      <c r="A527" s="75" t="s">
        <v>563</v>
      </c>
      <c r="B527" s="75" t="s">
        <v>109</v>
      </c>
      <c r="C527" s="63">
        <v>854</v>
      </c>
      <c r="D527" s="63" t="s">
        <v>0</v>
      </c>
      <c r="E527" s="63" t="s">
        <v>0</v>
      </c>
      <c r="F527" s="76">
        <v>-0.01</v>
      </c>
      <c r="G527" s="63">
        <v>0</v>
      </c>
      <c r="H527" s="63">
        <v>0</v>
      </c>
    </row>
    <row r="528" spans="1:8" x14ac:dyDescent="0.25">
      <c r="A528" s="75" t="s">
        <v>564</v>
      </c>
      <c r="B528" s="75" t="s">
        <v>126</v>
      </c>
      <c r="C528" s="63" t="s">
        <v>0</v>
      </c>
      <c r="D528" s="63">
        <v>500</v>
      </c>
      <c r="E528" s="63">
        <v>500</v>
      </c>
      <c r="F528" s="63" t="s">
        <v>0</v>
      </c>
      <c r="G528" s="63">
        <v>0</v>
      </c>
      <c r="H528" s="63">
        <v>0</v>
      </c>
    </row>
    <row r="529" spans="1:8" x14ac:dyDescent="0.25">
      <c r="A529" s="75" t="s">
        <v>565</v>
      </c>
      <c r="B529" s="75" t="s">
        <v>126</v>
      </c>
      <c r="C529" s="63">
        <v>90</v>
      </c>
      <c r="D529" s="63">
        <v>500</v>
      </c>
      <c r="E529" s="63">
        <v>500</v>
      </c>
      <c r="F529" s="63" t="s">
        <v>0</v>
      </c>
      <c r="G529" s="63">
        <v>0</v>
      </c>
      <c r="H529" s="63">
        <v>0</v>
      </c>
    </row>
    <row r="530" spans="1:8" x14ac:dyDescent="0.25">
      <c r="A530" s="75" t="s">
        <v>566</v>
      </c>
      <c r="B530" s="75" t="s">
        <v>126</v>
      </c>
      <c r="C530" s="63" t="s">
        <v>0</v>
      </c>
      <c r="D530" s="63">
        <v>500</v>
      </c>
      <c r="E530" s="63">
        <v>500</v>
      </c>
      <c r="F530" s="63" t="s">
        <v>0</v>
      </c>
      <c r="G530" s="63">
        <v>0</v>
      </c>
      <c r="H530" s="63">
        <v>0</v>
      </c>
    </row>
    <row r="531" spans="1:8" x14ac:dyDescent="0.25">
      <c r="A531" s="75" t="s">
        <v>567</v>
      </c>
      <c r="B531" s="75" t="s">
        <v>126</v>
      </c>
      <c r="C531" s="63">
        <v>105</v>
      </c>
      <c r="D531" s="63">
        <v>500</v>
      </c>
      <c r="E531" s="63">
        <v>500</v>
      </c>
      <c r="F531" s="63">
        <v>210</v>
      </c>
      <c r="G531" s="63">
        <v>500</v>
      </c>
      <c r="H531" s="63">
        <v>500</v>
      </c>
    </row>
    <row r="532" spans="1:8" x14ac:dyDescent="0.25">
      <c r="A532" s="75" t="s">
        <v>568</v>
      </c>
      <c r="B532" s="75" t="s">
        <v>126</v>
      </c>
      <c r="C532" s="63">
        <v>105</v>
      </c>
      <c r="D532" s="63">
        <v>500</v>
      </c>
      <c r="E532" s="63">
        <v>500</v>
      </c>
      <c r="F532" s="63">
        <v>420</v>
      </c>
      <c r="G532" s="63">
        <v>500</v>
      </c>
      <c r="H532" s="63">
        <v>500</v>
      </c>
    </row>
    <row r="533" spans="1:8" x14ac:dyDescent="0.25">
      <c r="A533" s="61" t="s">
        <v>569</v>
      </c>
      <c r="B533" s="61" t="s">
        <v>141</v>
      </c>
      <c r="C533" s="62">
        <v>18179</v>
      </c>
      <c r="D533" s="62">
        <v>17892</v>
      </c>
      <c r="E533" s="62">
        <v>17892</v>
      </c>
      <c r="F533" s="62">
        <v>16389.7</v>
      </c>
      <c r="G533" s="63">
        <f>17892.16</f>
        <v>17892.16</v>
      </c>
      <c r="H533" s="77">
        <f>G533+(G533*3%)</f>
        <v>18428.924800000001</v>
      </c>
    </row>
    <row r="534" spans="1:8" x14ac:dyDescent="0.25">
      <c r="A534" s="61" t="s">
        <v>570</v>
      </c>
      <c r="B534" s="61" t="s">
        <v>141</v>
      </c>
      <c r="C534" s="62">
        <v>16994</v>
      </c>
      <c r="D534" s="62">
        <v>16935</v>
      </c>
      <c r="E534" s="62">
        <v>16935</v>
      </c>
      <c r="F534" s="62">
        <v>12638.47</v>
      </c>
      <c r="G534" s="63">
        <f>15184</f>
        <v>15184</v>
      </c>
      <c r="H534" s="77">
        <f t="shared" ref="H534:H537" si="8">G534+(G534*3%)</f>
        <v>15639.52</v>
      </c>
    </row>
    <row r="535" spans="1:8" x14ac:dyDescent="0.25">
      <c r="A535" s="61" t="s">
        <v>571</v>
      </c>
      <c r="B535" s="61" t="s">
        <v>141</v>
      </c>
      <c r="C535" s="62">
        <v>17305</v>
      </c>
      <c r="D535" s="62">
        <v>8146</v>
      </c>
      <c r="E535" s="62">
        <v>8146</v>
      </c>
      <c r="F535" s="62">
        <v>14915.72</v>
      </c>
      <c r="G535" s="63">
        <f>16291.44+16095.04</f>
        <v>32386.480000000003</v>
      </c>
      <c r="H535" s="77">
        <f t="shared" si="8"/>
        <v>33358.074400000005</v>
      </c>
    </row>
    <row r="536" spans="1:8" x14ac:dyDescent="0.25">
      <c r="A536" s="61" t="s">
        <v>572</v>
      </c>
      <c r="B536" s="61" t="s">
        <v>141</v>
      </c>
      <c r="C536" s="62">
        <v>19038</v>
      </c>
      <c r="D536" s="62">
        <v>27683</v>
      </c>
      <c r="E536" s="62">
        <v>27683</v>
      </c>
      <c r="F536" s="62">
        <v>20142.96</v>
      </c>
      <c r="G536" s="63">
        <f>31188</f>
        <v>31188</v>
      </c>
      <c r="H536" s="77">
        <f t="shared" si="8"/>
        <v>32123.64</v>
      </c>
    </row>
    <row r="537" spans="1:8" x14ac:dyDescent="0.25">
      <c r="A537" s="61" t="s">
        <v>573</v>
      </c>
      <c r="B537" s="61" t="s">
        <v>141</v>
      </c>
      <c r="C537" s="62">
        <v>99992</v>
      </c>
      <c r="D537" s="62">
        <v>83290</v>
      </c>
      <c r="E537" s="62">
        <v>83290</v>
      </c>
      <c r="F537" s="62">
        <v>108669.4</v>
      </c>
      <c r="G537" s="63">
        <f>41475.52+32253.44+24787.48</f>
        <v>98516.439999999988</v>
      </c>
      <c r="H537" s="77">
        <f t="shared" si="8"/>
        <v>101471.93319999998</v>
      </c>
    </row>
    <row r="538" spans="1:8" x14ac:dyDescent="0.25">
      <c r="A538" s="61" t="s">
        <v>574</v>
      </c>
      <c r="B538" s="61" t="s">
        <v>160</v>
      </c>
      <c r="C538" s="62">
        <v>2400</v>
      </c>
      <c r="D538" s="62">
        <v>2400</v>
      </c>
      <c r="E538" s="62">
        <v>2400</v>
      </c>
      <c r="F538" s="62">
        <v>2000</v>
      </c>
      <c r="G538" s="63">
        <v>0</v>
      </c>
      <c r="H538" s="63">
        <v>0</v>
      </c>
    </row>
    <row r="539" spans="1:8" x14ac:dyDescent="0.25">
      <c r="A539" s="61" t="s">
        <v>575</v>
      </c>
      <c r="B539" s="61" t="s">
        <v>162</v>
      </c>
      <c r="C539" s="62">
        <v>6907</v>
      </c>
      <c r="D539" s="62">
        <v>6000</v>
      </c>
      <c r="E539" s="62">
        <v>6000</v>
      </c>
      <c r="F539" s="62">
        <v>5000</v>
      </c>
      <c r="G539" s="63">
        <v>0</v>
      </c>
      <c r="H539" s="63">
        <v>0</v>
      </c>
    </row>
    <row r="540" spans="1:8" x14ac:dyDescent="0.25">
      <c r="A540" s="61" t="s">
        <v>576</v>
      </c>
      <c r="B540" s="61" t="s">
        <v>172</v>
      </c>
      <c r="C540" s="62">
        <v>501</v>
      </c>
      <c r="D540" s="62">
        <v>682</v>
      </c>
      <c r="E540" s="62">
        <v>682</v>
      </c>
      <c r="F540" s="62">
        <v>512.23</v>
      </c>
      <c r="G540" s="63">
        <f>(G513+G517+G522+G528+G533)*1.45%</f>
        <v>684.71406999999999</v>
      </c>
      <c r="H540" s="63">
        <f>(H513+H517+H522+H528+H533)*1.45%</f>
        <v>705.25549209999997</v>
      </c>
    </row>
    <row r="541" spans="1:8" x14ac:dyDescent="0.25">
      <c r="A541" s="61" t="s">
        <v>577</v>
      </c>
      <c r="B541" s="61" t="s">
        <v>172</v>
      </c>
      <c r="C541" s="62">
        <v>549</v>
      </c>
      <c r="D541" s="62">
        <v>668</v>
      </c>
      <c r="E541" s="62">
        <v>668</v>
      </c>
      <c r="F541" s="62">
        <v>465.07</v>
      </c>
      <c r="G541" s="63">
        <f>(G514+G518+G523+G529+G534)*1.45%</f>
        <v>645.44574999999998</v>
      </c>
      <c r="H541" s="63">
        <f>(H514+H518+H523+H529+H534)*1.45%</f>
        <v>664.80912249999994</v>
      </c>
    </row>
    <row r="542" spans="1:8" x14ac:dyDescent="0.25">
      <c r="A542" s="61" t="s">
        <v>578</v>
      </c>
      <c r="B542" s="61" t="s">
        <v>172</v>
      </c>
      <c r="C542" s="62" t="s">
        <v>0</v>
      </c>
      <c r="D542" s="62">
        <v>7</v>
      </c>
      <c r="E542" s="62">
        <v>7</v>
      </c>
      <c r="F542" s="62" t="s">
        <v>0</v>
      </c>
      <c r="G542" s="63">
        <v>0</v>
      </c>
      <c r="H542" s="63">
        <v>1</v>
      </c>
    </row>
    <row r="543" spans="1:8" x14ac:dyDescent="0.25">
      <c r="A543" s="61" t="s">
        <v>579</v>
      </c>
      <c r="B543" s="61" t="s">
        <v>172</v>
      </c>
      <c r="C543" s="62">
        <v>538</v>
      </c>
      <c r="D543" s="62">
        <v>920</v>
      </c>
      <c r="E543" s="62">
        <v>920</v>
      </c>
      <c r="F543" s="62">
        <v>611.16999999999996</v>
      </c>
      <c r="G543" s="63">
        <f>(G515+G519+G524+G531+G535)*1.45%</f>
        <v>484.10396000000003</v>
      </c>
      <c r="H543" s="63">
        <f>(H515+H519+H524+H531+H535)*1.45%</f>
        <v>498.19207880000005</v>
      </c>
    </row>
    <row r="544" spans="1:8" x14ac:dyDescent="0.25">
      <c r="A544" s="61" t="s">
        <v>580</v>
      </c>
      <c r="B544" s="61" t="s">
        <v>172</v>
      </c>
      <c r="C544" s="62">
        <v>562</v>
      </c>
      <c r="D544" s="62">
        <v>407</v>
      </c>
      <c r="E544" s="62">
        <v>407</v>
      </c>
      <c r="F544" s="62">
        <v>526.49</v>
      </c>
      <c r="G544" s="63">
        <f>(G516+G520+G525+G532+G536)*1.45%</f>
        <v>466.72599999999994</v>
      </c>
      <c r="H544" s="63">
        <f>(H516+H520+H525+H532+H536)*1.45%</f>
        <v>480.29277999999994</v>
      </c>
    </row>
    <row r="545" spans="1:8" x14ac:dyDescent="0.25">
      <c r="A545" s="61" t="s">
        <v>581</v>
      </c>
      <c r="B545" s="61" t="s">
        <v>172</v>
      </c>
      <c r="C545" s="62">
        <v>1915</v>
      </c>
      <c r="D545" s="62">
        <v>2376</v>
      </c>
      <c r="E545" s="62">
        <v>2376</v>
      </c>
      <c r="F545" s="62">
        <v>1749.81</v>
      </c>
      <c r="G545" s="63">
        <f>(G521+G526+G538+G539)*1.45%</f>
        <v>2004.4469399999998</v>
      </c>
      <c r="H545" s="63">
        <f>(H521+H526+H538+H539)*1.45%</f>
        <v>2064.5803481999997</v>
      </c>
    </row>
    <row r="546" spans="1:8" x14ac:dyDescent="0.25">
      <c r="A546" s="61" t="s">
        <v>582</v>
      </c>
      <c r="B546" s="61" t="s">
        <v>172</v>
      </c>
      <c r="C546" s="62">
        <v>1042</v>
      </c>
      <c r="D546" s="62">
        <v>1383</v>
      </c>
      <c r="E546" s="62">
        <v>1383</v>
      </c>
      <c r="F546" s="62">
        <v>1125.54</v>
      </c>
      <c r="G546" s="63">
        <f>(G527+G537)*1.45%</f>
        <v>1428.4883799999998</v>
      </c>
      <c r="H546" s="63">
        <f>(H527+H537)*1.45%</f>
        <v>1471.3430313999997</v>
      </c>
    </row>
    <row r="547" spans="1:8" x14ac:dyDescent="0.25">
      <c r="A547" s="61" t="s">
        <v>583</v>
      </c>
      <c r="B547" s="61" t="s">
        <v>218</v>
      </c>
      <c r="C547" s="62">
        <v>7418</v>
      </c>
      <c r="D547" s="62">
        <v>7422</v>
      </c>
      <c r="E547" s="62">
        <v>7422</v>
      </c>
      <c r="F547" s="62">
        <v>7406.58</v>
      </c>
      <c r="G547" s="63">
        <v>7422</v>
      </c>
      <c r="H547" s="63">
        <v>7422</v>
      </c>
    </row>
    <row r="548" spans="1:8" x14ac:dyDescent="0.25">
      <c r="A548" s="61" t="s">
        <v>584</v>
      </c>
      <c r="B548" s="61" t="s">
        <v>218</v>
      </c>
      <c r="C548" s="62">
        <v>7418</v>
      </c>
      <c r="D548" s="62">
        <v>7422</v>
      </c>
      <c r="E548" s="62">
        <v>7422</v>
      </c>
      <c r="F548" s="62">
        <v>6508.55</v>
      </c>
      <c r="G548" s="63">
        <v>7422</v>
      </c>
      <c r="H548" s="63">
        <v>7422</v>
      </c>
    </row>
    <row r="549" spans="1:8" x14ac:dyDescent="0.25">
      <c r="A549" s="61" t="s">
        <v>585</v>
      </c>
      <c r="B549" s="61" t="s">
        <v>218</v>
      </c>
      <c r="C549" s="62">
        <v>7138</v>
      </c>
      <c r="D549" s="62">
        <v>11235</v>
      </c>
      <c r="E549" s="62">
        <v>11235</v>
      </c>
      <c r="F549" s="62">
        <v>7127</v>
      </c>
      <c r="G549" s="63">
        <v>11235</v>
      </c>
      <c r="H549" s="63">
        <v>11235</v>
      </c>
    </row>
    <row r="550" spans="1:8" x14ac:dyDescent="0.25">
      <c r="A550" s="61" t="s">
        <v>586</v>
      </c>
      <c r="B550" s="61" t="s">
        <v>218</v>
      </c>
      <c r="C550" s="62">
        <v>7134</v>
      </c>
      <c r="D550" s="62">
        <v>2097</v>
      </c>
      <c r="E550" s="62">
        <v>2097</v>
      </c>
      <c r="F550" s="62">
        <v>7150.63</v>
      </c>
      <c r="G550" s="63">
        <v>2097</v>
      </c>
      <c r="H550" s="63">
        <v>2097</v>
      </c>
    </row>
    <row r="551" spans="1:8" x14ac:dyDescent="0.25">
      <c r="A551" s="61" t="s">
        <v>587</v>
      </c>
      <c r="B551" s="61" t="s">
        <v>218</v>
      </c>
      <c r="C551" s="62">
        <v>5233</v>
      </c>
      <c r="D551" s="62">
        <v>5238</v>
      </c>
      <c r="E551" s="62">
        <v>5238</v>
      </c>
      <c r="F551" s="62">
        <v>5198.82</v>
      </c>
      <c r="G551" s="63">
        <v>5238</v>
      </c>
      <c r="H551" s="63">
        <v>5238</v>
      </c>
    </row>
    <row r="552" spans="1:8" x14ac:dyDescent="0.25">
      <c r="A552" s="61" t="s">
        <v>588</v>
      </c>
      <c r="B552" s="61" t="s">
        <v>218</v>
      </c>
      <c r="C552" s="62">
        <v>11344</v>
      </c>
      <c r="D552" s="62">
        <v>19032</v>
      </c>
      <c r="E552" s="62">
        <v>19032</v>
      </c>
      <c r="F552" s="62">
        <v>14812.91</v>
      </c>
      <c r="G552" s="63">
        <v>19032</v>
      </c>
      <c r="H552" s="63">
        <v>19032</v>
      </c>
    </row>
    <row r="553" spans="1:8" x14ac:dyDescent="0.25">
      <c r="A553" s="61" t="s">
        <v>589</v>
      </c>
      <c r="B553" s="61" t="s">
        <v>249</v>
      </c>
      <c r="C553" s="62">
        <v>306</v>
      </c>
      <c r="D553" s="62">
        <v>305</v>
      </c>
      <c r="E553" s="62">
        <v>305</v>
      </c>
      <c r="F553" s="62">
        <v>280.12</v>
      </c>
      <c r="G553" s="63">
        <f>(G513+G517+G522+G528+G533)*0.65%</f>
        <v>306.94079000000005</v>
      </c>
      <c r="H553" s="63">
        <f>(H513+H517+H522+H528+H533)*0.65%</f>
        <v>316.14901370000007</v>
      </c>
    </row>
    <row r="554" spans="1:8" x14ac:dyDescent="0.25">
      <c r="A554" s="61" t="s">
        <v>590</v>
      </c>
      <c r="B554" s="61" t="s">
        <v>249</v>
      </c>
      <c r="C554" s="62">
        <v>299</v>
      </c>
      <c r="D554" s="62">
        <v>298</v>
      </c>
      <c r="E554" s="62">
        <v>298</v>
      </c>
      <c r="F554" s="62">
        <v>234.01</v>
      </c>
      <c r="G554" s="63">
        <f>(G514+G518+G523+G529+G534)*0.65%</f>
        <v>289.33775000000003</v>
      </c>
      <c r="H554" s="63">
        <f>(H514+H518+H523+H529+H534)*0.65%</f>
        <v>298.01788250000004</v>
      </c>
    </row>
    <row r="555" spans="1:8" x14ac:dyDescent="0.25">
      <c r="A555" s="61" t="s">
        <v>591</v>
      </c>
      <c r="B555" s="61" t="s">
        <v>249</v>
      </c>
      <c r="C555" s="62" t="s">
        <v>0</v>
      </c>
      <c r="D555" s="62">
        <v>3</v>
      </c>
      <c r="E555" s="62">
        <v>3</v>
      </c>
      <c r="F555" s="62" t="s">
        <v>0</v>
      </c>
      <c r="G555" s="63">
        <v>0</v>
      </c>
      <c r="H555" s="63">
        <v>1</v>
      </c>
    </row>
    <row r="556" spans="1:8" x14ac:dyDescent="0.25">
      <c r="A556" s="61" t="s">
        <v>592</v>
      </c>
      <c r="B556" s="61" t="s">
        <v>249</v>
      </c>
      <c r="C556" s="62">
        <v>299</v>
      </c>
      <c r="D556" s="62">
        <v>411</v>
      </c>
      <c r="E556" s="62">
        <v>411</v>
      </c>
      <c r="F556" s="62">
        <v>286.33999999999997</v>
      </c>
      <c r="G556" s="63">
        <f>(G515+G519+G524+G531+G535)*0.65%</f>
        <v>217.01212000000004</v>
      </c>
      <c r="H556" s="63">
        <f>(H515+H519+H524+H531+H535)*0.65%</f>
        <v>223.32748360000005</v>
      </c>
    </row>
    <row r="557" spans="1:8" x14ac:dyDescent="0.25">
      <c r="A557" s="61" t="s">
        <v>593</v>
      </c>
      <c r="B557" s="61" t="s">
        <v>249</v>
      </c>
      <c r="C557" s="62">
        <v>298</v>
      </c>
      <c r="D557" s="62">
        <v>182</v>
      </c>
      <c r="E557" s="62">
        <v>182</v>
      </c>
      <c r="F557" s="62">
        <v>310.45999999999998</v>
      </c>
      <c r="G557" s="63">
        <f>(G516+G520+G525+G532+G536)*0.65%</f>
        <v>209.22200000000001</v>
      </c>
      <c r="H557" s="63">
        <f>(H516+H520+H525+H532+H536)*0.65%</f>
        <v>215.30366000000001</v>
      </c>
    </row>
    <row r="558" spans="1:8" x14ac:dyDescent="0.25">
      <c r="A558" s="61" t="s">
        <v>594</v>
      </c>
      <c r="B558" s="61" t="s">
        <v>249</v>
      </c>
      <c r="C558" s="62">
        <v>514</v>
      </c>
      <c r="D558" s="62">
        <v>513</v>
      </c>
      <c r="E558" s="62">
        <v>513</v>
      </c>
      <c r="F558" s="62">
        <v>472.41</v>
      </c>
      <c r="G558" s="63">
        <f>(G521+G526+G538+G539)*0.65%</f>
        <v>898.54518000000007</v>
      </c>
      <c r="H558" s="63">
        <f>(H521+H526+H538+H539)*0.65%</f>
        <v>925.50153540000008</v>
      </c>
    </row>
    <row r="559" spans="1:8" x14ac:dyDescent="0.25">
      <c r="A559" s="61" t="s">
        <v>595</v>
      </c>
      <c r="B559" s="61" t="s">
        <v>249</v>
      </c>
      <c r="C559" s="62">
        <v>277</v>
      </c>
      <c r="D559" s="62">
        <v>564</v>
      </c>
      <c r="E559" s="62">
        <v>564</v>
      </c>
      <c r="F559" s="62">
        <v>447.54</v>
      </c>
      <c r="G559" s="63">
        <f>(G527+G537)*0.65%</f>
        <v>640.35685999999998</v>
      </c>
      <c r="H559" s="63">
        <f>(H527+H537)*0.65%</f>
        <v>659.56756580000001</v>
      </c>
    </row>
    <row r="560" spans="1:8" x14ac:dyDescent="0.25">
      <c r="A560" s="61" t="s">
        <v>596</v>
      </c>
      <c r="B560" s="61" t="s">
        <v>292</v>
      </c>
      <c r="C560" s="62">
        <v>3377</v>
      </c>
      <c r="D560" s="62">
        <v>3315</v>
      </c>
      <c r="E560" s="62">
        <v>3315</v>
      </c>
      <c r="F560" s="62">
        <v>3107.71</v>
      </c>
      <c r="G560" s="63">
        <v>3315</v>
      </c>
      <c r="H560" s="77">
        <f>G560+(G560*3%)</f>
        <v>3414.45</v>
      </c>
    </row>
    <row r="561" spans="1:10" x14ac:dyDescent="0.25">
      <c r="A561" s="61" t="s">
        <v>597</v>
      </c>
      <c r="B561" s="61" t="s">
        <v>292</v>
      </c>
      <c r="C561" s="62">
        <v>3286</v>
      </c>
      <c r="D561" s="62">
        <v>3241</v>
      </c>
      <c r="E561" s="62">
        <v>3241</v>
      </c>
      <c r="F561" s="62">
        <v>2816.22</v>
      </c>
      <c r="G561" s="63">
        <v>3241</v>
      </c>
      <c r="H561" s="77">
        <f t="shared" ref="H561:H566" si="9">G561+(G561*3%)</f>
        <v>3338.23</v>
      </c>
    </row>
    <row r="562" spans="1:10" x14ac:dyDescent="0.25">
      <c r="A562" s="61" t="s">
        <v>598</v>
      </c>
      <c r="B562" s="61" t="s">
        <v>292</v>
      </c>
      <c r="C562" s="62" t="s">
        <v>0</v>
      </c>
      <c r="D562" s="62">
        <v>39</v>
      </c>
      <c r="E562" s="62">
        <v>39</v>
      </c>
      <c r="F562" s="62" t="s">
        <v>0</v>
      </c>
      <c r="G562" s="63">
        <v>39</v>
      </c>
      <c r="H562" s="77">
        <f t="shared" si="9"/>
        <v>40.17</v>
      </c>
    </row>
    <row r="563" spans="1:10" x14ac:dyDescent="0.25">
      <c r="A563" s="61" t="s">
        <v>599</v>
      </c>
      <c r="B563" s="61" t="s">
        <v>292</v>
      </c>
      <c r="C563" s="62">
        <v>3377</v>
      </c>
      <c r="D563" s="62">
        <v>4701</v>
      </c>
      <c r="E563" s="62">
        <v>4701</v>
      </c>
      <c r="F563" s="62">
        <v>3152.11</v>
      </c>
      <c r="G563" s="63">
        <v>4701</v>
      </c>
      <c r="H563" s="77">
        <f t="shared" si="9"/>
        <v>4842.03</v>
      </c>
    </row>
    <row r="564" spans="1:10" x14ac:dyDescent="0.25">
      <c r="A564" s="61" t="s">
        <v>600</v>
      </c>
      <c r="B564" s="61" t="s">
        <v>292</v>
      </c>
      <c r="C564" s="62">
        <v>3380</v>
      </c>
      <c r="D564" s="62">
        <v>1936</v>
      </c>
      <c r="E564" s="62">
        <v>1936</v>
      </c>
      <c r="F564" s="62">
        <v>3565.27</v>
      </c>
      <c r="G564" s="63">
        <v>1936</v>
      </c>
      <c r="H564" s="77">
        <f t="shared" si="9"/>
        <v>1994.08</v>
      </c>
    </row>
    <row r="565" spans="1:10" x14ac:dyDescent="0.25">
      <c r="A565" s="61" t="s">
        <v>601</v>
      </c>
      <c r="B565" s="61" t="s">
        <v>292</v>
      </c>
      <c r="C565" s="62">
        <v>5343</v>
      </c>
      <c r="D565" s="62">
        <v>3983</v>
      </c>
      <c r="E565" s="62">
        <v>3983</v>
      </c>
      <c r="F565" s="62">
        <v>3850.31</v>
      </c>
      <c r="G565" s="63">
        <v>3983</v>
      </c>
      <c r="H565" s="77">
        <f t="shared" si="9"/>
        <v>4102.49</v>
      </c>
    </row>
    <row r="566" spans="1:10" x14ac:dyDescent="0.25">
      <c r="A566" s="61" t="s">
        <v>602</v>
      </c>
      <c r="B566" s="61" t="s">
        <v>292</v>
      </c>
      <c r="C566" s="62">
        <v>5690</v>
      </c>
      <c r="D566" s="62">
        <v>9200</v>
      </c>
      <c r="E566" s="62">
        <v>9200</v>
      </c>
      <c r="F566" s="62">
        <v>6915.64</v>
      </c>
      <c r="G566" s="63">
        <v>9200</v>
      </c>
      <c r="H566" s="77">
        <f t="shared" si="9"/>
        <v>9476</v>
      </c>
    </row>
    <row r="567" spans="1:10" x14ac:dyDescent="0.25">
      <c r="A567" s="61" t="s">
        <v>603</v>
      </c>
      <c r="B567" s="61" t="s">
        <v>331</v>
      </c>
      <c r="C567" s="62">
        <v>1207</v>
      </c>
      <c r="D567" s="62">
        <v>1238</v>
      </c>
      <c r="E567" s="62">
        <v>1238</v>
      </c>
      <c r="F567" s="62">
        <v>1096.19</v>
      </c>
      <c r="G567" s="63">
        <f>(G513+G517+G522+G528+G533)*0.75%</f>
        <v>354.16245000000004</v>
      </c>
      <c r="H567" s="63">
        <f>(H513+H517+H522+H528+H533)*0.75%</f>
        <v>364.78732350000001</v>
      </c>
    </row>
    <row r="568" spans="1:10" x14ac:dyDescent="0.25">
      <c r="A568" s="61" t="s">
        <v>604</v>
      </c>
      <c r="B568" s="61" t="s">
        <v>331</v>
      </c>
      <c r="C568" s="62">
        <v>1183</v>
      </c>
      <c r="D568" s="62">
        <v>1225</v>
      </c>
      <c r="E568" s="62">
        <v>1225</v>
      </c>
      <c r="F568" s="62">
        <v>1019.43</v>
      </c>
      <c r="G568" s="63">
        <f>(G514+G518+G523+G529+G534)*0.75%</f>
        <v>333.85124999999999</v>
      </c>
      <c r="H568" s="63">
        <f>(H514+H518+H523+H529+H534)*0.75%</f>
        <v>343.86678749999999</v>
      </c>
    </row>
    <row r="569" spans="1:10" x14ac:dyDescent="0.25">
      <c r="A569" s="61" t="s">
        <v>605</v>
      </c>
      <c r="B569" s="61" t="s">
        <v>331</v>
      </c>
      <c r="C569" s="62">
        <v>1104</v>
      </c>
      <c r="D569" s="62">
        <v>1499</v>
      </c>
      <c r="E569" s="62">
        <v>1499</v>
      </c>
      <c r="F569" s="62">
        <v>1043.45</v>
      </c>
      <c r="G569" s="63">
        <f>(G515+G519+G524+G531+G535)*0.75%</f>
        <v>250.39860000000002</v>
      </c>
      <c r="H569" s="63">
        <f>(H515+H519+H524+H531+H535)*0.75%</f>
        <v>257.68555800000001</v>
      </c>
    </row>
    <row r="570" spans="1:10" x14ac:dyDescent="0.25">
      <c r="A570" s="61" t="s">
        <v>606</v>
      </c>
      <c r="B570" s="61" t="s">
        <v>331</v>
      </c>
      <c r="C570" s="62">
        <v>1104</v>
      </c>
      <c r="D570" s="62">
        <v>773</v>
      </c>
      <c r="E570" s="62">
        <v>773</v>
      </c>
      <c r="F570" s="62">
        <v>1152.01</v>
      </c>
      <c r="G570" s="63">
        <f>(G516+G520+G525+G532+G536)*0.75%</f>
        <v>241.41</v>
      </c>
      <c r="H570" s="63">
        <f>(H516+H520+H525+H532+H536)*0.75%</f>
        <v>248.42729999999997</v>
      </c>
    </row>
    <row r="571" spans="1:10" x14ac:dyDescent="0.25">
      <c r="A571" s="61" t="s">
        <v>607</v>
      </c>
      <c r="B571" s="61" t="s">
        <v>331</v>
      </c>
      <c r="C571" s="62">
        <v>3181</v>
      </c>
      <c r="D571" s="62">
        <v>3447</v>
      </c>
      <c r="E571" s="62">
        <v>3447</v>
      </c>
      <c r="F571" s="62">
        <v>2932.25</v>
      </c>
      <c r="G571" s="63">
        <f>(G521+G526+G538+G539)*0.75%</f>
        <v>1036.7828999999999</v>
      </c>
      <c r="H571" s="63">
        <f>(H521+H526+H538+H539)*0.75%</f>
        <v>1067.886387</v>
      </c>
    </row>
    <row r="572" spans="1:10" ht="15.75" thickBot="1" x14ac:dyDescent="0.3">
      <c r="A572" s="61" t="s">
        <v>608</v>
      </c>
      <c r="B572" s="61" t="s">
        <v>331</v>
      </c>
      <c r="C572" s="65">
        <v>1496</v>
      </c>
      <c r="D572" s="65">
        <v>2418</v>
      </c>
      <c r="E572" s="65">
        <v>2418</v>
      </c>
      <c r="F572" s="65">
        <v>1817.56</v>
      </c>
      <c r="G572" s="66">
        <f>(G527+G537)*0.75%</f>
        <v>738.87329999999986</v>
      </c>
      <c r="H572" s="66">
        <f>(H527+H537)*0.75%</f>
        <v>761.03949899999986</v>
      </c>
    </row>
    <row r="573" spans="1:10" s="3" customFormat="1" x14ac:dyDescent="0.25">
      <c r="B573" s="3" t="s">
        <v>1274</v>
      </c>
      <c r="C573" s="6">
        <f>SUM(C513:C572)</f>
        <v>544152</v>
      </c>
      <c r="D573" s="6">
        <f>SUM(D513:D572)</f>
        <v>511682</v>
      </c>
      <c r="E573" s="6">
        <f t="shared" ref="E573:H573" si="10">SUM(E513:E572)</f>
        <v>511682</v>
      </c>
      <c r="F573" s="6">
        <f t="shared" si="10"/>
        <v>499056.44999999995</v>
      </c>
      <c r="G573" s="8">
        <f t="shared" si="10"/>
        <v>484155.61830000003</v>
      </c>
      <c r="H573" s="8">
        <f t="shared" si="10"/>
        <v>497047.19684899994</v>
      </c>
      <c r="J573"/>
    </row>
    <row r="574" spans="1:10" x14ac:dyDescent="0.25">
      <c r="C574" s="4"/>
      <c r="D574" s="4"/>
      <c r="E574" s="4"/>
      <c r="F574" s="4"/>
    </row>
    <row r="575" spans="1:10" x14ac:dyDescent="0.25">
      <c r="A575" s="67" t="s">
        <v>1366</v>
      </c>
      <c r="B575" s="61" t="s">
        <v>380</v>
      </c>
      <c r="C575" s="62">
        <v>0</v>
      </c>
      <c r="D575" s="62">
        <v>0</v>
      </c>
      <c r="E575" s="62">
        <v>0</v>
      </c>
      <c r="F575" s="62">
        <v>0</v>
      </c>
      <c r="G575" s="63">
        <v>5506</v>
      </c>
      <c r="H575" s="63">
        <v>5506</v>
      </c>
    </row>
    <row r="576" spans="1:10" x14ac:dyDescent="0.25">
      <c r="A576" s="61" t="s">
        <v>609</v>
      </c>
      <c r="B576" s="61" t="s">
        <v>380</v>
      </c>
      <c r="C576" s="62">
        <v>99</v>
      </c>
      <c r="D576" s="62">
        <v>3500</v>
      </c>
      <c r="E576" s="62">
        <v>3500</v>
      </c>
      <c r="F576" s="62">
        <v>500</v>
      </c>
      <c r="G576" s="63">
        <v>3500</v>
      </c>
      <c r="H576" s="63">
        <v>3500</v>
      </c>
    </row>
    <row r="577" spans="1:10" x14ac:dyDescent="0.25">
      <c r="A577" s="61" t="s">
        <v>610</v>
      </c>
      <c r="B577" s="61" t="s">
        <v>390</v>
      </c>
      <c r="C577" s="62">
        <v>36479</v>
      </c>
      <c r="D577" s="62">
        <v>28000</v>
      </c>
      <c r="E577" s="62">
        <v>28000</v>
      </c>
      <c r="F577" s="62">
        <v>40374.92</v>
      </c>
      <c r="G577" s="63">
        <v>27400</v>
      </c>
      <c r="H577" s="63">
        <v>27400</v>
      </c>
    </row>
    <row r="578" spans="1:10" x14ac:dyDescent="0.25">
      <c r="A578" s="61" t="s">
        <v>611</v>
      </c>
      <c r="B578" s="61" t="s">
        <v>395</v>
      </c>
      <c r="C578" s="62">
        <v>795</v>
      </c>
      <c r="D578" s="62">
        <v>400</v>
      </c>
      <c r="E578" s="62">
        <v>400</v>
      </c>
      <c r="F578" s="62">
        <v>363.01</v>
      </c>
      <c r="G578" s="63">
        <v>400</v>
      </c>
      <c r="H578" s="63">
        <v>400</v>
      </c>
    </row>
    <row r="579" spans="1:10" x14ac:dyDescent="0.25">
      <c r="A579" s="61" t="s">
        <v>612</v>
      </c>
      <c r="B579" s="61" t="s">
        <v>395</v>
      </c>
      <c r="C579" s="62" t="s">
        <v>0</v>
      </c>
      <c r="D579" s="62">
        <v>50</v>
      </c>
      <c r="E579" s="62">
        <v>50</v>
      </c>
      <c r="F579" s="62" t="s">
        <v>0</v>
      </c>
      <c r="G579" s="63">
        <v>0</v>
      </c>
      <c r="H579" s="63">
        <v>0</v>
      </c>
    </row>
    <row r="580" spans="1:10" ht="15.75" thickBot="1" x14ac:dyDescent="0.3">
      <c r="A580" s="61" t="s">
        <v>613</v>
      </c>
      <c r="B580" s="61" t="s">
        <v>395</v>
      </c>
      <c r="C580" s="65">
        <v>10260</v>
      </c>
      <c r="D580" s="65">
        <v>15000</v>
      </c>
      <c r="E580" s="65">
        <v>15000</v>
      </c>
      <c r="F580" s="65">
        <v>17950.740000000002</v>
      </c>
      <c r="G580" s="66">
        <v>15000</v>
      </c>
      <c r="H580" s="66">
        <v>15000</v>
      </c>
    </row>
    <row r="581" spans="1:10" s="3" customFormat="1" x14ac:dyDescent="0.25">
      <c r="B581" s="3" t="s">
        <v>1298</v>
      </c>
      <c r="C581" s="6">
        <f>SUM(C575:C580)</f>
        <v>47633</v>
      </c>
      <c r="D581" s="6">
        <f t="shared" ref="D581:H581" si="11">SUM(D575:D580)</f>
        <v>46950</v>
      </c>
      <c r="E581" s="6">
        <f t="shared" si="11"/>
        <v>46950</v>
      </c>
      <c r="F581" s="6">
        <f t="shared" si="11"/>
        <v>59188.67</v>
      </c>
      <c r="G581" s="8">
        <f t="shared" si="11"/>
        <v>51806</v>
      </c>
      <c r="H581" s="8">
        <f t="shared" si="11"/>
        <v>51806</v>
      </c>
      <c r="J581"/>
    </row>
    <row r="582" spans="1:10" x14ac:dyDescent="0.25">
      <c r="C582" s="4"/>
      <c r="D582" s="4"/>
      <c r="E582" s="4"/>
      <c r="F582" s="4"/>
    </row>
    <row r="583" spans="1:10" x14ac:dyDescent="0.25">
      <c r="A583" s="61" t="s">
        <v>614</v>
      </c>
      <c r="B583" s="61" t="s">
        <v>428</v>
      </c>
      <c r="C583" s="62">
        <v>7763</v>
      </c>
      <c r="D583" s="62">
        <v>5000</v>
      </c>
      <c r="E583" s="62">
        <v>5000</v>
      </c>
      <c r="F583" s="62">
        <v>4532.1400000000003</v>
      </c>
      <c r="G583" s="68">
        <v>3000</v>
      </c>
      <c r="H583" s="68">
        <v>3000</v>
      </c>
    </row>
    <row r="584" spans="1:10" x14ac:dyDescent="0.25">
      <c r="A584" s="61" t="s">
        <v>615</v>
      </c>
      <c r="B584" s="61" t="s">
        <v>428</v>
      </c>
      <c r="C584" s="62">
        <v>5412</v>
      </c>
      <c r="D584" s="62">
        <v>3620</v>
      </c>
      <c r="E584" s="62">
        <v>3620</v>
      </c>
      <c r="F584" s="62">
        <v>3601.27</v>
      </c>
      <c r="G584" s="68">
        <v>2800</v>
      </c>
      <c r="H584" s="68">
        <v>2800</v>
      </c>
    </row>
    <row r="585" spans="1:10" x14ac:dyDescent="0.25">
      <c r="A585" s="61" t="s">
        <v>616</v>
      </c>
      <c r="B585" s="61" t="s">
        <v>428</v>
      </c>
      <c r="C585" s="62">
        <v>2367</v>
      </c>
      <c r="D585" s="62">
        <v>2368</v>
      </c>
      <c r="E585" s="62">
        <v>2368</v>
      </c>
      <c r="F585" s="62">
        <v>2347.35</v>
      </c>
      <c r="G585" s="68">
        <v>1500</v>
      </c>
      <c r="H585" s="68">
        <v>1500</v>
      </c>
    </row>
    <row r="586" spans="1:10" x14ac:dyDescent="0.25">
      <c r="A586" s="61" t="s">
        <v>617</v>
      </c>
      <c r="B586" s="61" t="s">
        <v>428</v>
      </c>
      <c r="C586" s="62">
        <v>4494</v>
      </c>
      <c r="D586" s="62">
        <v>3000</v>
      </c>
      <c r="E586" s="62">
        <v>3000</v>
      </c>
      <c r="F586" s="62">
        <v>2966.62</v>
      </c>
      <c r="G586" s="68">
        <v>2500</v>
      </c>
      <c r="H586" s="68">
        <v>2500</v>
      </c>
    </row>
    <row r="587" spans="1:10" x14ac:dyDescent="0.25">
      <c r="A587" s="61" t="s">
        <v>618</v>
      </c>
      <c r="B587" s="61" t="s">
        <v>439</v>
      </c>
      <c r="C587" s="62">
        <v>115</v>
      </c>
      <c r="D587" s="62">
        <v>113</v>
      </c>
      <c r="E587" s="62">
        <v>113</v>
      </c>
      <c r="F587" s="62">
        <v>108.09</v>
      </c>
      <c r="G587" s="68">
        <v>113</v>
      </c>
      <c r="H587" s="68">
        <v>113</v>
      </c>
    </row>
    <row r="588" spans="1:10" x14ac:dyDescent="0.25">
      <c r="A588" s="61" t="s">
        <v>619</v>
      </c>
      <c r="B588" s="61" t="s">
        <v>439</v>
      </c>
      <c r="C588" s="62">
        <v>772</v>
      </c>
      <c r="D588" s="62">
        <v>830</v>
      </c>
      <c r="E588" s="62">
        <v>830</v>
      </c>
      <c r="F588" s="62">
        <v>642.49</v>
      </c>
      <c r="G588" s="68">
        <v>600</v>
      </c>
      <c r="H588" s="68">
        <v>600</v>
      </c>
    </row>
    <row r="589" spans="1:10" x14ac:dyDescent="0.25">
      <c r="A589" s="61" t="s">
        <v>620</v>
      </c>
      <c r="B589" s="61" t="s">
        <v>439</v>
      </c>
      <c r="C589" s="62">
        <v>1008</v>
      </c>
      <c r="D589" s="62">
        <v>500</v>
      </c>
      <c r="E589" s="62">
        <v>500</v>
      </c>
      <c r="F589" s="62">
        <v>498.27</v>
      </c>
      <c r="G589" s="68">
        <v>500</v>
      </c>
      <c r="H589" s="68">
        <v>500</v>
      </c>
    </row>
    <row r="590" spans="1:10" x14ac:dyDescent="0.25">
      <c r="A590" s="61" t="s">
        <v>621</v>
      </c>
      <c r="B590" s="61" t="s">
        <v>439</v>
      </c>
      <c r="C590" s="62">
        <v>6793</v>
      </c>
      <c r="D590" s="62">
        <v>128750</v>
      </c>
      <c r="E590" s="62">
        <v>124454</v>
      </c>
      <c r="F590" s="62">
        <v>77789.38</v>
      </c>
      <c r="G590" s="68">
        <v>25244</v>
      </c>
      <c r="H590" s="68">
        <v>25244</v>
      </c>
    </row>
    <row r="591" spans="1:10" ht="15.75" thickBot="1" x14ac:dyDescent="0.3">
      <c r="A591" s="61" t="s">
        <v>622</v>
      </c>
      <c r="B591" s="61" t="s">
        <v>1367</v>
      </c>
      <c r="C591" s="65">
        <v>2696</v>
      </c>
      <c r="D591" s="65">
        <v>1500</v>
      </c>
      <c r="E591" s="65">
        <v>1500</v>
      </c>
      <c r="F591" s="65">
        <v>1369.8</v>
      </c>
      <c r="G591" s="70">
        <v>1250</v>
      </c>
      <c r="H591" s="70">
        <v>1250</v>
      </c>
    </row>
    <row r="592" spans="1:10" s="3" customFormat="1" x14ac:dyDescent="0.25">
      <c r="B592" s="3" t="s">
        <v>1320</v>
      </c>
      <c r="C592" s="6">
        <f>SUM(C583:C591)</f>
        <v>31420</v>
      </c>
      <c r="D592" s="6">
        <f t="shared" ref="D592:H592" si="12">SUM(D583:D591)</f>
        <v>145681</v>
      </c>
      <c r="E592" s="6">
        <f t="shared" si="12"/>
        <v>141385</v>
      </c>
      <c r="F592" s="6">
        <f t="shared" si="12"/>
        <v>93855.41</v>
      </c>
      <c r="G592" s="8">
        <f t="shared" si="12"/>
        <v>37507</v>
      </c>
      <c r="H592" s="8">
        <f t="shared" si="12"/>
        <v>37507</v>
      </c>
      <c r="J592"/>
    </row>
    <row r="593" spans="1:10" x14ac:dyDescent="0.25">
      <c r="C593" s="4"/>
      <c r="D593" s="4"/>
      <c r="E593" s="4"/>
      <c r="F593" s="4"/>
    </row>
    <row r="594" spans="1:10" x14ac:dyDescent="0.25">
      <c r="A594" s="61" t="s">
        <v>623</v>
      </c>
      <c r="B594" s="61" t="s">
        <v>525</v>
      </c>
      <c r="C594" s="62">
        <v>248</v>
      </c>
      <c r="D594" s="62">
        <v>250</v>
      </c>
      <c r="E594" s="62">
        <v>500</v>
      </c>
      <c r="F594" s="62">
        <v>512.79</v>
      </c>
      <c r="G594" s="63">
        <v>250</v>
      </c>
      <c r="H594" s="63">
        <v>250</v>
      </c>
    </row>
    <row r="595" spans="1:10" ht="15.75" thickBot="1" x14ac:dyDescent="0.3">
      <c r="A595" s="61" t="s">
        <v>624</v>
      </c>
      <c r="B595" s="61" t="s">
        <v>1369</v>
      </c>
      <c r="C595" s="65" t="s">
        <v>0</v>
      </c>
      <c r="D595" s="65">
        <v>594</v>
      </c>
      <c r="E595" s="65">
        <v>594</v>
      </c>
      <c r="F595" s="65" t="s">
        <v>0</v>
      </c>
      <c r="G595" s="66">
        <v>494</v>
      </c>
      <c r="H595" s="66">
        <v>494</v>
      </c>
    </row>
    <row r="596" spans="1:10" s="3" customFormat="1" x14ac:dyDescent="0.25">
      <c r="B596" s="3" t="s">
        <v>1359</v>
      </c>
      <c r="C596" s="6">
        <f>SUM(C594:C595)</f>
        <v>248</v>
      </c>
      <c r="D596" s="6">
        <f t="shared" ref="D596:H596" si="13">SUM(D594:D595)</f>
        <v>844</v>
      </c>
      <c r="E596" s="6">
        <f t="shared" si="13"/>
        <v>1094</v>
      </c>
      <c r="F596" s="6">
        <f t="shared" si="13"/>
        <v>512.79</v>
      </c>
      <c r="G596" s="8">
        <f t="shared" si="13"/>
        <v>744</v>
      </c>
      <c r="H596" s="8">
        <f t="shared" si="13"/>
        <v>744</v>
      </c>
      <c r="J596"/>
    </row>
    <row r="597" spans="1:10" x14ac:dyDescent="0.25">
      <c r="C597" s="4"/>
      <c r="D597" s="4"/>
      <c r="E597" s="4"/>
      <c r="F597" s="4"/>
    </row>
    <row r="598" spans="1:10" s="3" customFormat="1" x14ac:dyDescent="0.25">
      <c r="A598" s="3" t="s">
        <v>625</v>
      </c>
      <c r="B598" s="3" t="s">
        <v>1370</v>
      </c>
      <c r="C598" s="6">
        <v>623740</v>
      </c>
      <c r="D598" s="6">
        <v>705157</v>
      </c>
      <c r="E598" s="6">
        <v>701111</v>
      </c>
      <c r="F598" s="6">
        <v>652613.31999999995</v>
      </c>
      <c r="G598" s="14">
        <f>G596+G592+G581+G573</f>
        <v>574212.61829999997</v>
      </c>
      <c r="H598" s="14">
        <f>H596+H592+H581+H573</f>
        <v>587104.19684899994</v>
      </c>
      <c r="J598"/>
    </row>
    <row r="599" spans="1:10" x14ac:dyDescent="0.25">
      <c r="C599" s="4"/>
      <c r="D599" s="4"/>
      <c r="E599" s="4"/>
      <c r="F599" s="4"/>
    </row>
    <row r="600" spans="1:10" x14ac:dyDescent="0.25">
      <c r="C600" s="4"/>
      <c r="D600" s="4"/>
      <c r="E600" s="4"/>
      <c r="F600" s="4"/>
    </row>
    <row r="601" spans="1:10" x14ac:dyDescent="0.25">
      <c r="A601" s="61" t="s">
        <v>626</v>
      </c>
      <c r="B601" s="61" t="s">
        <v>72</v>
      </c>
      <c r="C601" s="62">
        <v>1524</v>
      </c>
      <c r="D601" s="62">
        <v>1500</v>
      </c>
      <c r="E601" s="62">
        <v>1500</v>
      </c>
      <c r="F601" s="62">
        <v>1374.89</v>
      </c>
      <c r="G601" s="63">
        <v>1500</v>
      </c>
      <c r="H601" s="62">
        <v>1500</v>
      </c>
      <c r="I601" s="1" t="s">
        <v>1559</v>
      </c>
    </row>
    <row r="602" spans="1:10" x14ac:dyDescent="0.25">
      <c r="A602" s="75" t="s">
        <v>627</v>
      </c>
      <c r="B602" s="75" t="s">
        <v>109</v>
      </c>
      <c r="C602" s="63" t="s">
        <v>0</v>
      </c>
      <c r="D602" s="63">
        <v>5000</v>
      </c>
      <c r="E602" s="63">
        <v>5000</v>
      </c>
      <c r="F602" s="63" t="s">
        <v>0</v>
      </c>
      <c r="G602" s="63">
        <v>0</v>
      </c>
      <c r="H602" s="63">
        <v>0</v>
      </c>
    </row>
    <row r="603" spans="1:10" x14ac:dyDescent="0.25">
      <c r="A603" s="61" t="s">
        <v>628</v>
      </c>
      <c r="B603" s="61" t="s">
        <v>172</v>
      </c>
      <c r="C603" s="62" t="s">
        <v>0</v>
      </c>
      <c r="D603" s="62">
        <v>381</v>
      </c>
      <c r="E603" s="62">
        <v>381</v>
      </c>
      <c r="F603" s="62" t="s">
        <v>0</v>
      </c>
      <c r="G603" s="63">
        <v>0</v>
      </c>
      <c r="H603" s="62">
        <v>0</v>
      </c>
    </row>
    <row r="604" spans="1:10" x14ac:dyDescent="0.25">
      <c r="A604" s="61" t="s">
        <v>629</v>
      </c>
      <c r="B604" s="61" t="s">
        <v>172</v>
      </c>
      <c r="C604" s="62">
        <v>21</v>
      </c>
      <c r="D604" s="62">
        <v>22</v>
      </c>
      <c r="E604" s="62">
        <v>22</v>
      </c>
      <c r="F604" s="62">
        <v>18.87</v>
      </c>
      <c r="G604" s="63">
        <f>(G601+G602)*1.45%</f>
        <v>21.75</v>
      </c>
      <c r="H604" s="63">
        <f>(H601+H602)*1.45%</f>
        <v>21.75</v>
      </c>
    </row>
    <row r="605" spans="1:10" x14ac:dyDescent="0.25">
      <c r="A605" s="61" t="s">
        <v>630</v>
      </c>
      <c r="B605" s="61" t="s">
        <v>218</v>
      </c>
      <c r="C605" s="62" t="s">
        <v>0</v>
      </c>
      <c r="D605" s="62">
        <v>1237</v>
      </c>
      <c r="E605" s="62">
        <v>1237</v>
      </c>
      <c r="F605" s="62" t="s">
        <v>0</v>
      </c>
      <c r="G605" s="63">
        <v>1237</v>
      </c>
      <c r="H605" s="62">
        <v>1237</v>
      </c>
    </row>
    <row r="606" spans="1:10" x14ac:dyDescent="0.25">
      <c r="A606" s="61" t="s">
        <v>631</v>
      </c>
      <c r="B606" s="61" t="s">
        <v>249</v>
      </c>
      <c r="C606" s="62" t="s">
        <v>0</v>
      </c>
      <c r="D606" s="62">
        <v>168</v>
      </c>
      <c r="E606" s="62">
        <v>168</v>
      </c>
      <c r="F606" s="62" t="s">
        <v>0</v>
      </c>
      <c r="G606" s="63">
        <v>0</v>
      </c>
      <c r="H606" s="62">
        <v>0</v>
      </c>
    </row>
    <row r="607" spans="1:10" x14ac:dyDescent="0.25">
      <c r="A607" s="61" t="s">
        <v>632</v>
      </c>
      <c r="B607" s="61" t="s">
        <v>249</v>
      </c>
      <c r="C607" s="62">
        <v>10</v>
      </c>
      <c r="D607" s="62">
        <v>10</v>
      </c>
      <c r="E607" s="62">
        <v>10</v>
      </c>
      <c r="F607" s="62">
        <v>8.91</v>
      </c>
      <c r="G607" s="63">
        <f>(G601+G602)*0.65%</f>
        <v>9.75</v>
      </c>
      <c r="H607" s="63">
        <f>(H601+H602)*0.65%</f>
        <v>9.75</v>
      </c>
    </row>
    <row r="608" spans="1:10" x14ac:dyDescent="0.25">
      <c r="A608" s="61" t="s">
        <v>633</v>
      </c>
      <c r="B608" s="61" t="s">
        <v>292</v>
      </c>
      <c r="C608" s="62" t="s">
        <v>0</v>
      </c>
      <c r="D608" s="62">
        <v>1256</v>
      </c>
      <c r="E608" s="62">
        <v>1256</v>
      </c>
      <c r="F608" s="62" t="s">
        <v>0</v>
      </c>
      <c r="G608" s="63">
        <v>0</v>
      </c>
      <c r="H608" s="62">
        <v>0</v>
      </c>
    </row>
    <row r="609" spans="1:10" x14ac:dyDescent="0.25">
      <c r="A609" s="61" t="s">
        <v>634</v>
      </c>
      <c r="B609" s="61" t="s">
        <v>292</v>
      </c>
      <c r="C609" s="62">
        <v>113</v>
      </c>
      <c r="D609" s="62">
        <v>107</v>
      </c>
      <c r="E609" s="62">
        <v>107</v>
      </c>
      <c r="F609" s="62">
        <v>95.06</v>
      </c>
      <c r="G609" s="63">
        <v>107</v>
      </c>
      <c r="H609" s="62">
        <v>107</v>
      </c>
    </row>
    <row r="610" spans="1:10" x14ac:dyDescent="0.25">
      <c r="A610" s="61" t="s">
        <v>635</v>
      </c>
      <c r="B610" s="61" t="s">
        <v>331</v>
      </c>
      <c r="C610" s="62" t="s">
        <v>0</v>
      </c>
      <c r="D610" s="62">
        <v>1331</v>
      </c>
      <c r="E610" s="62">
        <v>1331</v>
      </c>
      <c r="F610" s="62" t="s">
        <v>0</v>
      </c>
      <c r="G610" s="63">
        <v>0</v>
      </c>
      <c r="H610" s="62">
        <v>0</v>
      </c>
    </row>
    <row r="611" spans="1:10" ht="15.75" thickBot="1" x14ac:dyDescent="0.3">
      <c r="A611" s="61" t="s">
        <v>636</v>
      </c>
      <c r="B611" s="61" t="s">
        <v>331</v>
      </c>
      <c r="C611" s="65">
        <v>38</v>
      </c>
      <c r="D611" s="65">
        <v>38</v>
      </c>
      <c r="E611" s="65">
        <v>38</v>
      </c>
      <c r="F611" s="65">
        <v>37.840000000000003</v>
      </c>
      <c r="G611" s="66">
        <f>(G601+G602)*0.75%</f>
        <v>11.25</v>
      </c>
      <c r="H611" s="66">
        <f>(H601+H602)*0.75%</f>
        <v>11.25</v>
      </c>
    </row>
    <row r="612" spans="1:10" s="3" customFormat="1" x14ac:dyDescent="0.25">
      <c r="B612" s="3" t="s">
        <v>1274</v>
      </c>
      <c r="C612" s="6">
        <f>SUM(C601:C611)</f>
        <v>1706</v>
      </c>
      <c r="D612" s="6">
        <f t="shared" ref="D612:H612" si="14">SUM(D601:D611)</f>
        <v>11050</v>
      </c>
      <c r="E612" s="6">
        <f t="shared" si="14"/>
        <v>11050</v>
      </c>
      <c r="F612" s="6">
        <f t="shared" si="14"/>
        <v>1535.57</v>
      </c>
      <c r="G612" s="8">
        <f t="shared" si="14"/>
        <v>2886.75</v>
      </c>
      <c r="H612" s="8">
        <f t="shared" si="14"/>
        <v>2886.75</v>
      </c>
      <c r="J612"/>
    </row>
    <row r="613" spans="1:10" x14ac:dyDescent="0.25">
      <c r="C613" s="4"/>
      <c r="D613" s="4"/>
      <c r="E613" s="4"/>
      <c r="F613" s="4"/>
    </row>
    <row r="614" spans="1:10" x14ac:dyDescent="0.25">
      <c r="A614" s="61" t="s">
        <v>637</v>
      </c>
      <c r="B614" s="61" t="s">
        <v>380</v>
      </c>
      <c r="C614" s="62">
        <v>0</v>
      </c>
      <c r="D614" s="62">
        <v>3000</v>
      </c>
      <c r="E614" s="62">
        <v>3000</v>
      </c>
      <c r="F614" s="62">
        <v>665.17</v>
      </c>
      <c r="G614" s="63">
        <v>0</v>
      </c>
      <c r="H614" s="63">
        <v>0</v>
      </c>
    </row>
    <row r="615" spans="1:10" x14ac:dyDescent="0.25">
      <c r="A615" s="61" t="s">
        <v>638</v>
      </c>
      <c r="B615" s="61" t="s">
        <v>380</v>
      </c>
      <c r="C615" s="62">
        <v>3305</v>
      </c>
      <c r="D615" s="62">
        <v>10000</v>
      </c>
      <c r="E615" s="62">
        <v>10000</v>
      </c>
      <c r="F615" s="62" t="s">
        <v>0</v>
      </c>
      <c r="G615" s="63">
        <v>5000</v>
      </c>
      <c r="H615" s="63">
        <v>5000</v>
      </c>
    </row>
    <row r="616" spans="1:10" ht="15.75" thickBot="1" x14ac:dyDescent="0.3">
      <c r="A616" s="61" t="s">
        <v>639</v>
      </c>
      <c r="B616" s="61" t="s">
        <v>390</v>
      </c>
      <c r="C616" s="65">
        <v>14900</v>
      </c>
      <c r="D616" s="65">
        <v>15000</v>
      </c>
      <c r="E616" s="65">
        <v>15000</v>
      </c>
      <c r="F616" s="65">
        <v>26692.47</v>
      </c>
      <c r="G616" s="66">
        <v>14100</v>
      </c>
      <c r="H616" s="66">
        <v>14100</v>
      </c>
    </row>
    <row r="617" spans="1:10" s="3" customFormat="1" x14ac:dyDescent="0.25">
      <c r="B617" s="3" t="s">
        <v>1298</v>
      </c>
      <c r="C617" s="6">
        <f>SUM(C614:C616)</f>
        <v>18205</v>
      </c>
      <c r="D617" s="6">
        <f t="shared" ref="D617:H617" si="15">SUM(D614:D616)</f>
        <v>28000</v>
      </c>
      <c r="E617" s="6">
        <f t="shared" si="15"/>
        <v>28000</v>
      </c>
      <c r="F617" s="6">
        <f t="shared" si="15"/>
        <v>27357.64</v>
      </c>
      <c r="G617" s="8">
        <f t="shared" si="15"/>
        <v>19100</v>
      </c>
      <c r="H617" s="8">
        <f t="shared" si="15"/>
        <v>19100</v>
      </c>
      <c r="J617"/>
    </row>
    <row r="618" spans="1:10" x14ac:dyDescent="0.25">
      <c r="C618" s="4"/>
      <c r="D618" s="4"/>
      <c r="E618" s="4"/>
      <c r="F618" s="4"/>
    </row>
    <row r="619" spans="1:10" x14ac:dyDescent="0.25">
      <c r="A619" s="61" t="s">
        <v>640</v>
      </c>
      <c r="B619" s="61" t="s">
        <v>421</v>
      </c>
      <c r="C619" s="62">
        <v>0</v>
      </c>
      <c r="D619" s="62">
        <v>0</v>
      </c>
      <c r="E619" s="62">
        <v>0</v>
      </c>
      <c r="F619" s="62">
        <v>133.65</v>
      </c>
      <c r="G619" s="63">
        <v>0</v>
      </c>
      <c r="H619" s="63">
        <v>0</v>
      </c>
    </row>
    <row r="620" spans="1:10" x14ac:dyDescent="0.25">
      <c r="A620" s="61" t="s">
        <v>641</v>
      </c>
      <c r="B620" s="61" t="s">
        <v>421</v>
      </c>
      <c r="C620" s="62">
        <v>3570</v>
      </c>
      <c r="D620" s="62">
        <v>5000</v>
      </c>
      <c r="E620" s="62">
        <v>5000</v>
      </c>
      <c r="F620" s="62">
        <v>2926.73</v>
      </c>
      <c r="G620" s="63">
        <v>5000</v>
      </c>
      <c r="H620" s="63">
        <v>5000</v>
      </c>
    </row>
    <row r="621" spans="1:10" x14ac:dyDescent="0.25">
      <c r="A621" s="61" t="s">
        <v>642</v>
      </c>
      <c r="B621" s="61" t="s">
        <v>439</v>
      </c>
      <c r="C621" s="62">
        <v>231</v>
      </c>
      <c r="D621" s="62">
        <v>500</v>
      </c>
      <c r="E621" s="62">
        <v>500</v>
      </c>
      <c r="F621" s="62" t="s">
        <v>0</v>
      </c>
      <c r="G621" s="63">
        <v>500</v>
      </c>
      <c r="H621" s="63">
        <v>500</v>
      </c>
    </row>
    <row r="622" spans="1:10" ht="15.75" thickBot="1" x14ac:dyDescent="0.3">
      <c r="A622" s="61" t="s">
        <v>643</v>
      </c>
      <c r="B622" s="61" t="s">
        <v>439</v>
      </c>
      <c r="C622" s="65">
        <v>711</v>
      </c>
      <c r="D622" s="65">
        <v>13000</v>
      </c>
      <c r="E622" s="65">
        <v>14432</v>
      </c>
      <c r="F622" s="65">
        <v>1556</v>
      </c>
      <c r="G622" s="66">
        <v>5000</v>
      </c>
      <c r="H622" s="66">
        <v>5000</v>
      </c>
    </row>
    <row r="623" spans="1:10" x14ac:dyDescent="0.25">
      <c r="A623" s="7"/>
      <c r="B623" s="3" t="s">
        <v>1320</v>
      </c>
      <c r="C623" s="15">
        <f>SUM(C619:C622)</f>
        <v>4512</v>
      </c>
      <c r="D623" s="15">
        <f t="shared" ref="D623:H623" si="16">SUM(D619:D622)</f>
        <v>18500</v>
      </c>
      <c r="E623" s="15">
        <f t="shared" si="16"/>
        <v>19932</v>
      </c>
      <c r="F623" s="15">
        <f t="shared" si="16"/>
        <v>4616.38</v>
      </c>
      <c r="G623" s="15">
        <f t="shared" si="16"/>
        <v>10500</v>
      </c>
      <c r="H623" s="15">
        <f t="shared" si="16"/>
        <v>10500</v>
      </c>
    </row>
    <row r="624" spans="1:10" x14ac:dyDescent="0.25">
      <c r="A624" s="7"/>
      <c r="B624" s="7"/>
      <c r="C624" s="7"/>
      <c r="D624" s="7"/>
      <c r="E624" s="7"/>
      <c r="F624" s="7"/>
    </row>
    <row r="625" spans="1:10" x14ac:dyDescent="0.25">
      <c r="A625" s="61" t="s">
        <v>644</v>
      </c>
      <c r="B625" s="61" t="s">
        <v>525</v>
      </c>
      <c r="C625" s="62">
        <v>6111</v>
      </c>
      <c r="D625" s="62">
        <v>7000</v>
      </c>
      <c r="E625" s="62">
        <v>7000</v>
      </c>
      <c r="F625" s="62">
        <v>3211.21</v>
      </c>
      <c r="G625" s="68">
        <v>4000</v>
      </c>
      <c r="H625" s="68">
        <v>4000</v>
      </c>
    </row>
    <row r="626" spans="1:10" x14ac:dyDescent="0.25">
      <c r="A626" s="61" t="s">
        <v>645</v>
      </c>
      <c r="B626" s="61" t="s">
        <v>525</v>
      </c>
      <c r="C626" s="62">
        <v>1906</v>
      </c>
      <c r="D626" s="62">
        <v>7000</v>
      </c>
      <c r="E626" s="62">
        <v>7000</v>
      </c>
      <c r="F626" s="62">
        <v>6766.24</v>
      </c>
      <c r="G626" s="68">
        <v>4000</v>
      </c>
      <c r="H626" s="68">
        <v>4000</v>
      </c>
    </row>
    <row r="627" spans="1:10" x14ac:dyDescent="0.25">
      <c r="A627" s="61" t="s">
        <v>646</v>
      </c>
      <c r="B627" s="61" t="s">
        <v>525</v>
      </c>
      <c r="C627" s="62">
        <v>1638</v>
      </c>
      <c r="D627" s="62">
        <v>3000</v>
      </c>
      <c r="E627" s="62">
        <v>3000</v>
      </c>
      <c r="F627" s="62">
        <v>1737.14</v>
      </c>
      <c r="G627" s="68">
        <v>2000</v>
      </c>
      <c r="H627" s="68">
        <v>2000</v>
      </c>
    </row>
    <row r="628" spans="1:10" x14ac:dyDescent="0.25">
      <c r="A628" s="61" t="s">
        <v>647</v>
      </c>
      <c r="B628" s="61" t="s">
        <v>525</v>
      </c>
      <c r="C628" s="62">
        <v>495</v>
      </c>
      <c r="D628" s="62">
        <v>3000</v>
      </c>
      <c r="E628" s="62">
        <v>3000</v>
      </c>
      <c r="F628" s="62">
        <v>75</v>
      </c>
      <c r="G628" s="68">
        <v>2000</v>
      </c>
      <c r="H628" s="68">
        <v>2000</v>
      </c>
    </row>
    <row r="629" spans="1:10" x14ac:dyDescent="0.25">
      <c r="A629" s="61" t="s">
        <v>648</v>
      </c>
      <c r="B629" s="61" t="s">
        <v>525</v>
      </c>
      <c r="C629" s="62">
        <v>658</v>
      </c>
      <c r="D629" s="62">
        <v>725</v>
      </c>
      <c r="E629" s="62">
        <v>725</v>
      </c>
      <c r="F629" s="62">
        <v>527.66999999999996</v>
      </c>
      <c r="G629" s="68">
        <v>650</v>
      </c>
      <c r="H629" s="68">
        <v>650</v>
      </c>
    </row>
    <row r="630" spans="1:10" x14ac:dyDescent="0.25">
      <c r="A630" s="61" t="s">
        <v>649</v>
      </c>
      <c r="B630" s="61" t="s">
        <v>525</v>
      </c>
      <c r="C630" s="62">
        <v>1812</v>
      </c>
      <c r="D630" s="62">
        <v>600</v>
      </c>
      <c r="E630" s="62">
        <v>600</v>
      </c>
      <c r="F630" s="62">
        <v>275</v>
      </c>
      <c r="G630" s="69"/>
      <c r="H630" s="69"/>
    </row>
    <row r="631" spans="1:10" x14ac:dyDescent="0.25">
      <c r="A631" s="61" t="s">
        <v>650</v>
      </c>
      <c r="B631" s="61" t="s">
        <v>525</v>
      </c>
      <c r="C631" s="62">
        <v>5237</v>
      </c>
      <c r="D631" s="62">
        <v>2500</v>
      </c>
      <c r="E631" s="62">
        <v>2500</v>
      </c>
      <c r="F631" s="62">
        <v>651.59</v>
      </c>
      <c r="G631" s="68">
        <v>6000</v>
      </c>
      <c r="H631" s="68">
        <v>6000</v>
      </c>
    </row>
    <row r="632" spans="1:10" x14ac:dyDescent="0.25">
      <c r="A632" s="61" t="s">
        <v>651</v>
      </c>
      <c r="B632" s="61" t="s">
        <v>525</v>
      </c>
      <c r="C632" s="62">
        <v>2602</v>
      </c>
      <c r="D632" s="62">
        <v>2000</v>
      </c>
      <c r="E632" s="62">
        <v>2000</v>
      </c>
      <c r="F632" s="62">
        <v>2050.56</v>
      </c>
      <c r="G632" s="68">
        <v>2000</v>
      </c>
      <c r="H632" s="68">
        <v>2000</v>
      </c>
    </row>
    <row r="633" spans="1:10" x14ac:dyDescent="0.25">
      <c r="A633" s="61" t="s">
        <v>652</v>
      </c>
      <c r="B633" s="61" t="s">
        <v>545</v>
      </c>
      <c r="C633" s="62" t="s">
        <v>0</v>
      </c>
      <c r="D633" s="62">
        <v>400</v>
      </c>
      <c r="E633" s="62">
        <v>400</v>
      </c>
      <c r="F633" s="62">
        <v>282.60000000000002</v>
      </c>
      <c r="G633" s="69"/>
      <c r="H633" s="69"/>
    </row>
    <row r="634" spans="1:10" ht="15.75" thickBot="1" x14ac:dyDescent="0.3">
      <c r="A634" s="61" t="s">
        <v>653</v>
      </c>
      <c r="B634" s="61" t="s">
        <v>545</v>
      </c>
      <c r="C634" s="65" t="s">
        <v>0</v>
      </c>
      <c r="D634" s="65">
        <v>2000</v>
      </c>
      <c r="E634" s="65">
        <v>2000</v>
      </c>
      <c r="F634" s="65" t="s">
        <v>0</v>
      </c>
      <c r="G634" s="70">
        <v>1000</v>
      </c>
      <c r="H634" s="70">
        <v>1000</v>
      </c>
    </row>
    <row r="635" spans="1:10" s="3" customFormat="1" x14ac:dyDescent="0.25">
      <c r="B635" s="3" t="s">
        <v>1359</v>
      </c>
      <c r="C635" s="6">
        <f>SUM(C625:C634)</f>
        <v>20459</v>
      </c>
      <c r="D635" s="6">
        <f t="shared" ref="D635:H635" si="17">SUM(D625:D634)</f>
        <v>28225</v>
      </c>
      <c r="E635" s="6">
        <f t="shared" si="17"/>
        <v>28225</v>
      </c>
      <c r="F635" s="6">
        <f t="shared" si="17"/>
        <v>15577.01</v>
      </c>
      <c r="G635" s="8">
        <f t="shared" si="17"/>
        <v>21650</v>
      </c>
      <c r="H635" s="8">
        <f t="shared" si="17"/>
        <v>21650</v>
      </c>
      <c r="J635"/>
    </row>
    <row r="636" spans="1:10" x14ac:dyDescent="0.25">
      <c r="C636" s="4"/>
      <c r="D636" s="4"/>
      <c r="E636" s="4"/>
      <c r="F636" s="4"/>
    </row>
    <row r="637" spans="1:10" s="3" customFormat="1" x14ac:dyDescent="0.25">
      <c r="A637" s="3" t="s">
        <v>654</v>
      </c>
      <c r="B637" s="3" t="s">
        <v>1371</v>
      </c>
      <c r="C637" s="6">
        <v>45002</v>
      </c>
      <c r="D637" s="6">
        <v>85775</v>
      </c>
      <c r="E637" s="6">
        <v>87207</v>
      </c>
      <c r="F637" s="6">
        <v>49086.6</v>
      </c>
      <c r="G637" s="14">
        <f>G635+G623+G617+G612</f>
        <v>54136.75</v>
      </c>
      <c r="H637" s="14">
        <f>H635+H623+H617+H612</f>
        <v>54136.75</v>
      </c>
      <c r="J637"/>
    </row>
    <row r="638" spans="1:10" x14ac:dyDescent="0.25">
      <c r="C638" s="4"/>
      <c r="D638" s="4"/>
      <c r="E638" s="4"/>
      <c r="F638" s="4"/>
    </row>
    <row r="639" spans="1:10" x14ac:dyDescent="0.25">
      <c r="A639" s="61" t="s">
        <v>655</v>
      </c>
      <c r="B639" s="61" t="s">
        <v>49</v>
      </c>
      <c r="C639" s="62">
        <v>0</v>
      </c>
      <c r="D639" s="62">
        <v>0</v>
      </c>
      <c r="E639" s="62">
        <v>0</v>
      </c>
      <c r="F639" s="62">
        <v>753.83</v>
      </c>
      <c r="G639" s="63">
        <v>0</v>
      </c>
      <c r="H639" s="63">
        <v>0</v>
      </c>
    </row>
    <row r="640" spans="1:10" x14ac:dyDescent="0.25">
      <c r="A640" s="61" t="s">
        <v>656</v>
      </c>
      <c r="B640" s="61" t="s">
        <v>72</v>
      </c>
      <c r="C640" s="62">
        <v>167226</v>
      </c>
      <c r="D640" s="62">
        <v>156616</v>
      </c>
      <c r="E640" s="62">
        <v>156616</v>
      </c>
      <c r="F640" s="62">
        <v>141360.42000000001</v>
      </c>
      <c r="G640" s="63">
        <v>90400</v>
      </c>
      <c r="H640" s="62">
        <f>G640+(G640*3%)</f>
        <v>93112</v>
      </c>
    </row>
    <row r="641" spans="1:8" x14ac:dyDescent="0.25">
      <c r="A641" s="61" t="s">
        <v>657</v>
      </c>
      <c r="B641" s="61" t="s">
        <v>72</v>
      </c>
      <c r="C641" s="62">
        <v>7062</v>
      </c>
      <c r="D641" s="62" t="s">
        <v>0</v>
      </c>
      <c r="E641" s="62" t="s">
        <v>0</v>
      </c>
      <c r="F641" s="62" t="s">
        <v>0</v>
      </c>
      <c r="G641" s="63">
        <v>0</v>
      </c>
      <c r="H641" s="62">
        <f t="shared" ref="H641:H644" si="18">G641+(G641*3%)</f>
        <v>0</v>
      </c>
    </row>
    <row r="642" spans="1:8" x14ac:dyDescent="0.25">
      <c r="A642" s="61" t="s">
        <v>658</v>
      </c>
      <c r="B642" s="61" t="s">
        <v>72</v>
      </c>
      <c r="C642" s="62">
        <v>75092</v>
      </c>
      <c r="D642" s="62">
        <v>76719</v>
      </c>
      <c r="E642" s="62">
        <v>76719</v>
      </c>
      <c r="F642" s="62">
        <v>69897.23</v>
      </c>
      <c r="G642" s="63">
        <f>71573.16</f>
        <v>71573.16</v>
      </c>
      <c r="H642" s="62">
        <f t="shared" si="18"/>
        <v>73720.354800000001</v>
      </c>
    </row>
    <row r="643" spans="1:8" x14ac:dyDescent="0.25">
      <c r="A643" s="61" t="s">
        <v>659</v>
      </c>
      <c r="B643" s="61" t="s">
        <v>72</v>
      </c>
      <c r="C643" s="62">
        <v>7062</v>
      </c>
      <c r="D643" s="62" t="s">
        <v>0</v>
      </c>
      <c r="E643" s="62" t="s">
        <v>0</v>
      </c>
      <c r="F643" s="62" t="s">
        <v>0</v>
      </c>
      <c r="G643" s="63">
        <v>0</v>
      </c>
      <c r="H643" s="62">
        <f t="shared" si="18"/>
        <v>0</v>
      </c>
    </row>
    <row r="644" spans="1:8" x14ac:dyDescent="0.25">
      <c r="A644" s="61" t="s">
        <v>660</v>
      </c>
      <c r="B644" s="61" t="s">
        <v>72</v>
      </c>
      <c r="C644" s="62">
        <v>46263</v>
      </c>
      <c r="D644" s="62">
        <v>50692</v>
      </c>
      <c r="E644" s="62">
        <v>50692</v>
      </c>
      <c r="F644" s="62">
        <v>91017.63</v>
      </c>
      <c r="G644" s="63">
        <f>71534+27120</f>
        <v>98654</v>
      </c>
      <c r="H644" s="62">
        <f t="shared" si="18"/>
        <v>101613.62</v>
      </c>
    </row>
    <row r="645" spans="1:8" x14ac:dyDescent="0.25">
      <c r="A645" s="75" t="s">
        <v>661</v>
      </c>
      <c r="B645" s="75" t="s">
        <v>109</v>
      </c>
      <c r="C645" s="63">
        <v>42</v>
      </c>
      <c r="D645" s="63">
        <v>1000</v>
      </c>
      <c r="E645" s="63">
        <v>1000</v>
      </c>
      <c r="F645" s="63">
        <v>56.48</v>
      </c>
      <c r="G645" s="63">
        <v>500</v>
      </c>
      <c r="H645" s="63">
        <v>500</v>
      </c>
    </row>
    <row r="646" spans="1:8" x14ac:dyDescent="0.25">
      <c r="A646" s="61" t="s">
        <v>662</v>
      </c>
      <c r="B646" s="61" t="s">
        <v>126</v>
      </c>
      <c r="C646" s="62" t="s">
        <v>0</v>
      </c>
      <c r="D646" s="62" t="s">
        <v>0</v>
      </c>
      <c r="E646" s="62" t="s">
        <v>0</v>
      </c>
      <c r="F646" s="62">
        <v>60</v>
      </c>
      <c r="G646" s="63">
        <v>0</v>
      </c>
      <c r="H646" s="63">
        <v>0</v>
      </c>
    </row>
    <row r="647" spans="1:8" x14ac:dyDescent="0.25">
      <c r="A647" s="61" t="s">
        <v>663</v>
      </c>
      <c r="B647" s="61" t="s">
        <v>141</v>
      </c>
      <c r="C647" s="62">
        <v>66846</v>
      </c>
      <c r="D647" s="62">
        <v>59580</v>
      </c>
      <c r="E647" s="62">
        <v>59580</v>
      </c>
      <c r="F647" s="62">
        <v>56421.61</v>
      </c>
      <c r="G647" s="63">
        <f>34044.64+25502.4</f>
        <v>59547.040000000001</v>
      </c>
      <c r="H647" s="62">
        <f>G647+(G647*3%)</f>
        <v>61333.451200000003</v>
      </c>
    </row>
    <row r="648" spans="1:8" x14ac:dyDescent="0.25">
      <c r="A648" s="61" t="s">
        <v>664</v>
      </c>
      <c r="B648" s="61" t="s">
        <v>141</v>
      </c>
      <c r="C648" s="62" t="s">
        <v>0</v>
      </c>
      <c r="D648" s="62" t="s">
        <v>0</v>
      </c>
      <c r="E648" s="62" t="s">
        <v>0</v>
      </c>
      <c r="F648" s="64">
        <v>-49.24</v>
      </c>
      <c r="G648" s="63">
        <v>0</v>
      </c>
      <c r="H648" s="62">
        <f>G648+(G648*3%)</f>
        <v>0</v>
      </c>
    </row>
    <row r="649" spans="1:8" x14ac:dyDescent="0.25">
      <c r="A649" s="61" t="s">
        <v>665</v>
      </c>
      <c r="B649" s="61" t="s">
        <v>169</v>
      </c>
      <c r="C649" s="62">
        <v>2400</v>
      </c>
      <c r="D649" s="62">
        <v>2400</v>
      </c>
      <c r="E649" s="62">
        <v>2400</v>
      </c>
      <c r="F649" s="62">
        <v>2000</v>
      </c>
      <c r="G649" s="63">
        <v>0</v>
      </c>
      <c r="H649" s="62">
        <v>0</v>
      </c>
    </row>
    <row r="650" spans="1:8" x14ac:dyDescent="0.25">
      <c r="A650" s="61" t="s">
        <v>666</v>
      </c>
      <c r="B650" s="61" t="s">
        <v>172</v>
      </c>
      <c r="C650" s="62">
        <v>2129</v>
      </c>
      <c r="D650" s="62">
        <v>2079</v>
      </c>
      <c r="E650" s="62">
        <v>2079</v>
      </c>
      <c r="F650" s="62">
        <v>2008.75</v>
      </c>
      <c r="G650" s="63">
        <f>G640*1.45%</f>
        <v>1310.8</v>
      </c>
      <c r="H650" s="63">
        <f>H640*1.45%</f>
        <v>1350.1239999999998</v>
      </c>
    </row>
    <row r="651" spans="1:8" x14ac:dyDescent="0.25">
      <c r="A651" s="61" t="s">
        <v>667</v>
      </c>
      <c r="B651" s="61" t="s">
        <v>172</v>
      </c>
      <c r="C651" s="62" t="s">
        <v>0</v>
      </c>
      <c r="D651" s="62">
        <v>503</v>
      </c>
      <c r="E651" s="62">
        <v>503</v>
      </c>
      <c r="F651" s="62" t="s">
        <v>0</v>
      </c>
      <c r="G651" s="63">
        <v>0</v>
      </c>
      <c r="H651" s="63">
        <v>1</v>
      </c>
    </row>
    <row r="652" spans="1:8" x14ac:dyDescent="0.25">
      <c r="A652" s="61" t="s">
        <v>668</v>
      </c>
      <c r="B652" s="61" t="s">
        <v>172</v>
      </c>
      <c r="C652" s="62">
        <v>1964</v>
      </c>
      <c r="D652" s="62">
        <v>1753</v>
      </c>
      <c r="E652" s="62">
        <v>1753</v>
      </c>
      <c r="F652" s="62">
        <v>1753.16</v>
      </c>
      <c r="G652" s="63">
        <f>(G639+G642+G645+G646+G647+G649)*1.45%</f>
        <v>1908.4929</v>
      </c>
      <c r="H652" s="63">
        <f>(H639+H642+H645+H646+H647+H649)*1.45%</f>
        <v>1965.5301870000001</v>
      </c>
    </row>
    <row r="653" spans="1:8" x14ac:dyDescent="0.25">
      <c r="A653" s="61" t="s">
        <v>669</v>
      </c>
      <c r="B653" s="61" t="s">
        <v>172</v>
      </c>
      <c r="C653" s="62">
        <v>356</v>
      </c>
      <c r="D653" s="62">
        <v>96</v>
      </c>
      <c r="E653" s="62">
        <v>96</v>
      </c>
      <c r="F653" s="62">
        <v>999.16</v>
      </c>
      <c r="G653" s="63">
        <f>(G644+G648)*1.45%</f>
        <v>1430.4829999999999</v>
      </c>
      <c r="H653" s="63">
        <f>(H644+H648)*1.45%</f>
        <v>1473.3974899999998</v>
      </c>
    </row>
    <row r="654" spans="1:8" x14ac:dyDescent="0.25">
      <c r="A654" s="61" t="s">
        <v>670</v>
      </c>
      <c r="B654" s="61" t="s">
        <v>218</v>
      </c>
      <c r="C654" s="62">
        <v>6125</v>
      </c>
      <c r="D654" s="62">
        <v>11330</v>
      </c>
      <c r="E654" s="62">
        <v>11330</v>
      </c>
      <c r="F654" s="62">
        <v>4751.3900000000003</v>
      </c>
      <c r="G654" s="63">
        <v>11330</v>
      </c>
      <c r="H654" s="63">
        <v>11330</v>
      </c>
    </row>
    <row r="655" spans="1:8" x14ac:dyDescent="0.25">
      <c r="A655" s="61" t="s">
        <v>671</v>
      </c>
      <c r="B655" s="61" t="s">
        <v>218</v>
      </c>
      <c r="C655" s="62">
        <v>379</v>
      </c>
      <c r="D655" s="62">
        <v>1139</v>
      </c>
      <c r="E655" s="62">
        <v>1139</v>
      </c>
      <c r="F655" s="62" t="s">
        <v>0</v>
      </c>
      <c r="G655" s="63">
        <v>1139</v>
      </c>
      <c r="H655" s="63">
        <v>1139</v>
      </c>
    </row>
    <row r="656" spans="1:8" x14ac:dyDescent="0.25">
      <c r="A656" s="61" t="s">
        <v>672</v>
      </c>
      <c r="B656" s="61" t="s">
        <v>218</v>
      </c>
      <c r="C656" s="62" t="s">
        <v>0</v>
      </c>
      <c r="D656" s="62">
        <v>1633</v>
      </c>
      <c r="E656" s="62">
        <v>1633</v>
      </c>
      <c r="F656" s="62" t="s">
        <v>0</v>
      </c>
      <c r="G656" s="63">
        <v>1633</v>
      </c>
      <c r="H656" s="63">
        <v>1633</v>
      </c>
    </row>
    <row r="657" spans="1:8" x14ac:dyDescent="0.25">
      <c r="A657" s="61" t="s">
        <v>673</v>
      </c>
      <c r="B657" s="61" t="s">
        <v>218</v>
      </c>
      <c r="C657" s="62">
        <v>15096</v>
      </c>
      <c r="D657" s="62">
        <v>9400</v>
      </c>
      <c r="E657" s="62">
        <v>9400</v>
      </c>
      <c r="F657" s="62">
        <v>10529.51</v>
      </c>
      <c r="G657" s="63">
        <v>9400</v>
      </c>
      <c r="H657" s="63">
        <v>9400</v>
      </c>
    </row>
    <row r="658" spans="1:8" x14ac:dyDescent="0.25">
      <c r="A658" s="61" t="s">
        <v>674</v>
      </c>
      <c r="B658" s="61" t="s">
        <v>218</v>
      </c>
      <c r="C658" s="62">
        <v>379</v>
      </c>
      <c r="D658" s="62">
        <v>1139</v>
      </c>
      <c r="E658" s="62">
        <v>1139</v>
      </c>
      <c r="F658" s="62" t="s">
        <v>0</v>
      </c>
      <c r="G658" s="63">
        <v>1139</v>
      </c>
      <c r="H658" s="63">
        <v>1139</v>
      </c>
    </row>
    <row r="659" spans="1:8" x14ac:dyDescent="0.25">
      <c r="A659" s="61" t="s">
        <v>675</v>
      </c>
      <c r="B659" s="61" t="s">
        <v>218</v>
      </c>
      <c r="C659" s="62">
        <v>1081</v>
      </c>
      <c r="D659" s="62">
        <v>29</v>
      </c>
      <c r="E659" s="62">
        <v>29</v>
      </c>
      <c r="F659" s="62">
        <v>5257.13</v>
      </c>
      <c r="G659" s="63">
        <v>29</v>
      </c>
      <c r="H659" s="63">
        <v>29</v>
      </c>
    </row>
    <row r="660" spans="1:8" x14ac:dyDescent="0.25">
      <c r="A660" s="61" t="s">
        <v>676</v>
      </c>
      <c r="B660" s="61" t="s">
        <v>249</v>
      </c>
      <c r="C660" s="62">
        <v>1071</v>
      </c>
      <c r="D660" s="62">
        <v>1225</v>
      </c>
      <c r="E660" s="62">
        <v>1225</v>
      </c>
      <c r="F660" s="62">
        <v>904.71</v>
      </c>
      <c r="G660" s="63">
        <f>G640*0.65%</f>
        <v>587.6</v>
      </c>
      <c r="H660" s="63">
        <f>H640*0.65%</f>
        <v>605.22800000000007</v>
      </c>
    </row>
    <row r="661" spans="1:8" x14ac:dyDescent="0.25">
      <c r="A661" s="61" t="s">
        <v>677</v>
      </c>
      <c r="B661" s="61" t="s">
        <v>249</v>
      </c>
      <c r="C661" s="62">
        <v>46</v>
      </c>
      <c r="D661" s="62">
        <v>131</v>
      </c>
      <c r="E661" s="62">
        <v>131</v>
      </c>
      <c r="F661" s="62" t="s">
        <v>0</v>
      </c>
      <c r="G661" s="63">
        <v>0</v>
      </c>
      <c r="H661" s="63">
        <v>0</v>
      </c>
    </row>
    <row r="662" spans="1:8" x14ac:dyDescent="0.25">
      <c r="A662" s="61" t="s">
        <v>678</v>
      </c>
      <c r="B662" s="61" t="s">
        <v>249</v>
      </c>
      <c r="C662" s="62" t="s">
        <v>0</v>
      </c>
      <c r="D662" s="62">
        <v>222</v>
      </c>
      <c r="E662" s="62">
        <v>222</v>
      </c>
      <c r="F662" s="62" t="s">
        <v>0</v>
      </c>
      <c r="G662" s="63">
        <v>0</v>
      </c>
      <c r="H662" s="63">
        <v>0</v>
      </c>
    </row>
    <row r="663" spans="1:8" x14ac:dyDescent="0.25">
      <c r="A663" s="61" t="s">
        <v>679</v>
      </c>
      <c r="B663" s="61" t="s">
        <v>249</v>
      </c>
      <c r="C663" s="62">
        <v>752</v>
      </c>
      <c r="D663" s="62">
        <v>597</v>
      </c>
      <c r="E663" s="62">
        <v>597</v>
      </c>
      <c r="F663" s="62">
        <v>800.08</v>
      </c>
      <c r="G663" s="63">
        <f>(G639+G642+G645+G646+G647+G649)*0.65%</f>
        <v>855.5313000000001</v>
      </c>
      <c r="H663" s="63">
        <f>(H639+H642+H645+H646+H647+H649)*0.65%</f>
        <v>881.09973900000011</v>
      </c>
    </row>
    <row r="664" spans="1:8" x14ac:dyDescent="0.25">
      <c r="A664" s="61" t="s">
        <v>680</v>
      </c>
      <c r="B664" s="61" t="s">
        <v>249</v>
      </c>
      <c r="C664" s="62">
        <v>46</v>
      </c>
      <c r="D664" s="62">
        <v>131</v>
      </c>
      <c r="E664" s="62">
        <v>131</v>
      </c>
      <c r="F664" s="62" t="s">
        <v>0</v>
      </c>
      <c r="G664" s="63">
        <v>0</v>
      </c>
      <c r="H664" s="63">
        <v>1</v>
      </c>
    </row>
    <row r="665" spans="1:8" x14ac:dyDescent="0.25">
      <c r="A665" s="61" t="s">
        <v>681</v>
      </c>
      <c r="B665" s="61" t="s">
        <v>249</v>
      </c>
      <c r="C665" s="62">
        <v>298</v>
      </c>
      <c r="D665" s="62">
        <v>42</v>
      </c>
      <c r="E665" s="62">
        <v>42</v>
      </c>
      <c r="F665" s="62">
        <v>623.29</v>
      </c>
      <c r="G665" s="63">
        <f>(G644+G648)*0.65%</f>
        <v>641.25100000000009</v>
      </c>
      <c r="H665" s="63">
        <f>(H644+H648)*0.65%</f>
        <v>660.48853000000008</v>
      </c>
    </row>
    <row r="666" spans="1:8" x14ac:dyDescent="0.25">
      <c r="A666" s="61" t="s">
        <v>682</v>
      </c>
      <c r="B666" s="61" t="s">
        <v>292</v>
      </c>
      <c r="C666" s="62">
        <v>11380</v>
      </c>
      <c r="D666" s="62">
        <v>8862</v>
      </c>
      <c r="E666" s="62">
        <v>8862</v>
      </c>
      <c r="F666" s="62">
        <v>9797.0300000000007</v>
      </c>
      <c r="G666" s="63">
        <v>8862</v>
      </c>
      <c r="H666" s="62">
        <f>G666+(G666*3%)</f>
        <v>9127.86</v>
      </c>
    </row>
    <row r="667" spans="1:8" x14ac:dyDescent="0.25">
      <c r="A667" s="61" t="s">
        <v>683</v>
      </c>
      <c r="B667" s="61" t="s">
        <v>292</v>
      </c>
      <c r="C667" s="62">
        <v>396</v>
      </c>
      <c r="D667" s="62">
        <v>1087</v>
      </c>
      <c r="E667" s="62">
        <v>1087</v>
      </c>
      <c r="F667" s="62" t="s">
        <v>0</v>
      </c>
      <c r="G667" s="63">
        <v>1087</v>
      </c>
      <c r="H667" s="62">
        <f t="shared" ref="H667:H671" si="19">G667+(G667*3%)</f>
        <v>1119.6099999999999</v>
      </c>
    </row>
    <row r="668" spans="1:8" x14ac:dyDescent="0.25">
      <c r="A668" s="61" t="s">
        <v>684</v>
      </c>
      <c r="B668" s="61" t="s">
        <v>292</v>
      </c>
      <c r="C668" s="62" t="s">
        <v>0</v>
      </c>
      <c r="D668" s="62">
        <v>1658</v>
      </c>
      <c r="E668" s="62">
        <v>1658</v>
      </c>
      <c r="F668" s="62" t="s">
        <v>0</v>
      </c>
      <c r="G668" s="63">
        <v>1658</v>
      </c>
      <c r="H668" s="62">
        <f t="shared" si="19"/>
        <v>1707.74</v>
      </c>
    </row>
    <row r="669" spans="1:8" x14ac:dyDescent="0.25">
      <c r="A669" s="61" t="s">
        <v>685</v>
      </c>
      <c r="B669" s="61" t="s">
        <v>292</v>
      </c>
      <c r="C669" s="62">
        <v>9133</v>
      </c>
      <c r="D669" s="62">
        <v>7068</v>
      </c>
      <c r="E669" s="62">
        <v>7068</v>
      </c>
      <c r="F669" s="62">
        <v>8838.3700000000008</v>
      </c>
      <c r="G669" s="63">
        <v>7068</v>
      </c>
      <c r="H669" s="62">
        <f t="shared" si="19"/>
        <v>7280.04</v>
      </c>
    </row>
    <row r="670" spans="1:8" x14ac:dyDescent="0.25">
      <c r="A670" s="61" t="s">
        <v>686</v>
      </c>
      <c r="B670" s="61" t="s">
        <v>292</v>
      </c>
      <c r="C670" s="62">
        <v>396</v>
      </c>
      <c r="D670" s="62">
        <v>1087</v>
      </c>
      <c r="E670" s="62">
        <v>1087</v>
      </c>
      <c r="F670" s="62" t="s">
        <v>0</v>
      </c>
      <c r="G670" s="63">
        <v>1087</v>
      </c>
      <c r="H670" s="62">
        <f t="shared" si="19"/>
        <v>1119.6099999999999</v>
      </c>
    </row>
    <row r="671" spans="1:8" x14ac:dyDescent="0.25">
      <c r="A671" s="61" t="s">
        <v>687</v>
      </c>
      <c r="B671" s="61" t="s">
        <v>292</v>
      </c>
      <c r="C671" s="62">
        <v>3191</v>
      </c>
      <c r="D671" s="62">
        <v>66</v>
      </c>
      <c r="E671" s="62">
        <v>66</v>
      </c>
      <c r="F671" s="62">
        <v>5572.74</v>
      </c>
      <c r="G671" s="63">
        <v>66</v>
      </c>
      <c r="H671" s="62">
        <f t="shared" si="19"/>
        <v>67.98</v>
      </c>
    </row>
    <row r="672" spans="1:8" x14ac:dyDescent="0.25">
      <c r="A672" s="61" t="s">
        <v>688</v>
      </c>
      <c r="B672" s="61" t="s">
        <v>331</v>
      </c>
      <c r="C672" s="62">
        <v>4725</v>
      </c>
      <c r="D672" s="62">
        <v>13195</v>
      </c>
      <c r="E672" s="62">
        <v>13195</v>
      </c>
      <c r="F672" s="62">
        <v>3855.78</v>
      </c>
      <c r="G672" s="63">
        <f>G640*0.75%</f>
        <v>678</v>
      </c>
      <c r="H672" s="63">
        <f>H640*0.75%</f>
        <v>698.33999999999992</v>
      </c>
    </row>
    <row r="673" spans="1:10" x14ac:dyDescent="0.25">
      <c r="A673" s="61" t="s">
        <v>689</v>
      </c>
      <c r="B673" s="61" t="s">
        <v>331</v>
      </c>
      <c r="C673" s="62">
        <v>265</v>
      </c>
      <c r="D673" s="62">
        <v>831</v>
      </c>
      <c r="E673" s="62">
        <v>831</v>
      </c>
      <c r="F673" s="62" t="s">
        <v>0</v>
      </c>
      <c r="G673" s="63">
        <v>0</v>
      </c>
      <c r="H673" s="63">
        <v>0</v>
      </c>
    </row>
    <row r="674" spans="1:10" x14ac:dyDescent="0.25">
      <c r="A674" s="61" t="s">
        <v>690</v>
      </c>
      <c r="B674" s="61" t="s">
        <v>331</v>
      </c>
      <c r="C674" s="62" t="s">
        <v>0</v>
      </c>
      <c r="D674" s="62">
        <v>1757</v>
      </c>
      <c r="E674" s="62">
        <v>1757</v>
      </c>
      <c r="F674" s="62" t="s">
        <v>0</v>
      </c>
      <c r="G674" s="63">
        <v>0</v>
      </c>
      <c r="H674" s="63">
        <v>0</v>
      </c>
    </row>
    <row r="675" spans="1:10" x14ac:dyDescent="0.25">
      <c r="A675" s="61" t="s">
        <v>691</v>
      </c>
      <c r="B675" s="61" t="s">
        <v>331</v>
      </c>
      <c r="C675" s="62">
        <v>3634</v>
      </c>
      <c r="D675" s="62">
        <v>3350</v>
      </c>
      <c r="E675" s="62">
        <v>3350</v>
      </c>
      <c r="F675" s="62">
        <v>3352.88</v>
      </c>
      <c r="G675" s="63">
        <f>(G639+G642+G645+G646+G647+G649)*0.75%</f>
        <v>987.15150000000006</v>
      </c>
      <c r="H675" s="63">
        <f>(H639+H642+H645+H646+H647+H649)*0.75%</f>
        <v>1016.653545</v>
      </c>
    </row>
    <row r="676" spans="1:10" x14ac:dyDescent="0.25">
      <c r="A676" s="61" t="s">
        <v>692</v>
      </c>
      <c r="B676" s="61" t="s">
        <v>331</v>
      </c>
      <c r="C676" s="62">
        <v>265</v>
      </c>
      <c r="D676" s="62">
        <v>802</v>
      </c>
      <c r="E676" s="62">
        <v>802</v>
      </c>
      <c r="F676" s="62" t="s">
        <v>0</v>
      </c>
      <c r="G676" s="63">
        <v>0</v>
      </c>
      <c r="H676" s="63">
        <v>1</v>
      </c>
    </row>
    <row r="677" spans="1:10" ht="15.75" thickBot="1" x14ac:dyDescent="0.3">
      <c r="A677" s="61" t="s">
        <v>693</v>
      </c>
      <c r="B677" s="61" t="s">
        <v>331</v>
      </c>
      <c r="C677" s="65">
        <v>537</v>
      </c>
      <c r="D677" s="65">
        <v>585</v>
      </c>
      <c r="E677" s="65">
        <v>585</v>
      </c>
      <c r="F677" s="65">
        <v>1464.66</v>
      </c>
      <c r="G677" s="66">
        <f>(G644+G648)*0.75%</f>
        <v>739.90499999999997</v>
      </c>
      <c r="H677" s="66">
        <f>(H644+H648)*0.75%</f>
        <v>762.10214999999994</v>
      </c>
    </row>
    <row r="678" spans="1:10" s="3" customFormat="1" x14ac:dyDescent="0.25">
      <c r="B678" s="3" t="s">
        <v>1274</v>
      </c>
      <c r="C678" s="6">
        <f>SUM(C639:C677)</f>
        <v>435637</v>
      </c>
      <c r="D678" s="6">
        <f t="shared" ref="D678:H678" si="20">SUM(D639:D677)</f>
        <v>418804</v>
      </c>
      <c r="E678" s="6">
        <f t="shared" si="20"/>
        <v>418804</v>
      </c>
      <c r="F678" s="6">
        <f t="shared" si="20"/>
        <v>422026.6</v>
      </c>
      <c r="G678" s="8">
        <f t="shared" si="20"/>
        <v>374311.41469999996</v>
      </c>
      <c r="H678" s="8">
        <f t="shared" si="20"/>
        <v>384788.22964099993</v>
      </c>
      <c r="J678"/>
    </row>
    <row r="679" spans="1:10" x14ac:dyDescent="0.25">
      <c r="C679" s="4"/>
      <c r="D679" s="4"/>
      <c r="E679" s="4"/>
      <c r="F679" s="4"/>
    </row>
    <row r="680" spans="1:10" ht="15.75" thickBot="1" x14ac:dyDescent="0.3">
      <c r="A680" s="61" t="s">
        <v>694</v>
      </c>
      <c r="B680" s="61" t="s">
        <v>414</v>
      </c>
      <c r="C680" s="65">
        <v>5262</v>
      </c>
      <c r="D680" s="65">
        <v>5000</v>
      </c>
      <c r="E680" s="65">
        <v>5000</v>
      </c>
      <c r="F680" s="65">
        <v>4385.2</v>
      </c>
      <c r="G680" s="66">
        <v>5000</v>
      </c>
      <c r="H680" s="66">
        <v>5000</v>
      </c>
    </row>
    <row r="681" spans="1:10" s="3" customFormat="1" x14ac:dyDescent="0.25">
      <c r="B681" s="3" t="s">
        <v>1298</v>
      </c>
      <c r="C681" s="6">
        <f>SUM(C680)</f>
        <v>5262</v>
      </c>
      <c r="D681" s="6">
        <f t="shared" ref="D681:H681" si="21">SUM(D680)</f>
        <v>5000</v>
      </c>
      <c r="E681" s="6">
        <f t="shared" si="21"/>
        <v>5000</v>
      </c>
      <c r="F681" s="6">
        <f t="shared" si="21"/>
        <v>4385.2</v>
      </c>
      <c r="G681" s="8">
        <f t="shared" si="21"/>
        <v>5000</v>
      </c>
      <c r="H681" s="8">
        <f t="shared" si="21"/>
        <v>5000</v>
      </c>
      <c r="J681"/>
    </row>
    <row r="682" spans="1:10" x14ac:dyDescent="0.25">
      <c r="C682" s="4"/>
      <c r="D682" s="4"/>
      <c r="E682" s="4"/>
      <c r="F682" s="4"/>
    </row>
    <row r="683" spans="1:10" x14ac:dyDescent="0.25">
      <c r="A683" s="61" t="s">
        <v>695</v>
      </c>
      <c r="B683" s="61" t="s">
        <v>439</v>
      </c>
      <c r="C683" s="62">
        <v>1796</v>
      </c>
      <c r="D683" s="62">
        <v>1500</v>
      </c>
      <c r="E683" s="62">
        <v>1500</v>
      </c>
      <c r="F683" s="62">
        <v>1059.22</v>
      </c>
      <c r="G683" s="63">
        <v>1200</v>
      </c>
      <c r="H683" s="63">
        <v>1200</v>
      </c>
    </row>
    <row r="684" spans="1:10" ht="15.75" thickBot="1" x14ac:dyDescent="0.3">
      <c r="A684" s="61" t="s">
        <v>696</v>
      </c>
      <c r="B684" s="61" t="s">
        <v>439</v>
      </c>
      <c r="C684" s="65">
        <v>3974</v>
      </c>
      <c r="D684" s="65">
        <v>4700</v>
      </c>
      <c r="E684" s="65">
        <v>4700</v>
      </c>
      <c r="F684" s="65">
        <v>6439.52</v>
      </c>
      <c r="G684" s="66">
        <v>5000</v>
      </c>
      <c r="H684" s="66">
        <v>5000</v>
      </c>
    </row>
    <row r="685" spans="1:10" s="3" customFormat="1" x14ac:dyDescent="0.25">
      <c r="B685" s="3" t="s">
        <v>1320</v>
      </c>
      <c r="C685" s="6">
        <f>SUM(C683:C684)</f>
        <v>5770</v>
      </c>
      <c r="D685" s="6">
        <f t="shared" ref="D685:H685" si="22">SUM(D683:D684)</f>
        <v>6200</v>
      </c>
      <c r="E685" s="6">
        <f t="shared" si="22"/>
        <v>6200</v>
      </c>
      <c r="F685" s="6">
        <f t="shared" si="22"/>
        <v>7498.7400000000007</v>
      </c>
      <c r="G685" s="8">
        <f t="shared" si="22"/>
        <v>6200</v>
      </c>
      <c r="H685" s="8">
        <f t="shared" si="22"/>
        <v>6200</v>
      </c>
      <c r="J685"/>
    </row>
    <row r="686" spans="1:10" x14ac:dyDescent="0.25">
      <c r="C686" s="4"/>
      <c r="D686" s="4"/>
      <c r="E686" s="4"/>
      <c r="F686" s="4"/>
    </row>
    <row r="687" spans="1:10" x14ac:dyDescent="0.25">
      <c r="A687" s="61" t="s">
        <v>697</v>
      </c>
      <c r="B687" s="61" t="s">
        <v>525</v>
      </c>
      <c r="C687" s="62">
        <v>1907</v>
      </c>
      <c r="D687" s="62">
        <v>4000</v>
      </c>
      <c r="E687" s="62">
        <v>4000</v>
      </c>
      <c r="F687" s="62">
        <v>2728.98</v>
      </c>
      <c r="G687" s="63">
        <v>3700</v>
      </c>
      <c r="H687" s="63">
        <v>3700</v>
      </c>
    </row>
    <row r="688" spans="1:10" x14ac:dyDescent="0.25">
      <c r="A688" s="61" t="s">
        <v>698</v>
      </c>
      <c r="B688" s="61" t="s">
        <v>525</v>
      </c>
      <c r="C688" s="62">
        <v>1551</v>
      </c>
      <c r="D688" s="62">
        <v>2100</v>
      </c>
      <c r="E688" s="62">
        <v>2100</v>
      </c>
      <c r="F688" s="62">
        <v>2219.19</v>
      </c>
      <c r="G688" s="63">
        <v>2100</v>
      </c>
      <c r="H688" s="63">
        <v>2100</v>
      </c>
    </row>
    <row r="689" spans="1:10" x14ac:dyDescent="0.25">
      <c r="A689" s="61" t="s">
        <v>699</v>
      </c>
      <c r="B689" s="61" t="s">
        <v>545</v>
      </c>
      <c r="C689" s="62">
        <v>509</v>
      </c>
      <c r="D689" s="62">
        <v>800</v>
      </c>
      <c r="E689" s="62">
        <v>800</v>
      </c>
      <c r="F689" s="62">
        <v>173.64</v>
      </c>
      <c r="G689" s="63">
        <v>140</v>
      </c>
      <c r="H689" s="63">
        <v>140</v>
      </c>
    </row>
    <row r="690" spans="1:10" ht="15.75" thickBot="1" x14ac:dyDescent="0.3">
      <c r="A690" s="61" t="s">
        <v>700</v>
      </c>
      <c r="B690" s="61" t="s">
        <v>545</v>
      </c>
      <c r="C690" s="65">
        <v>306</v>
      </c>
      <c r="D690" s="65">
        <v>350</v>
      </c>
      <c r="E690" s="65">
        <v>350</v>
      </c>
      <c r="F690" s="65">
        <v>91.94</v>
      </c>
      <c r="G690" s="66">
        <v>350</v>
      </c>
      <c r="H690" s="66">
        <v>350</v>
      </c>
    </row>
    <row r="691" spans="1:10" s="3" customFormat="1" x14ac:dyDescent="0.25">
      <c r="B691" s="3" t="s">
        <v>1359</v>
      </c>
      <c r="C691" s="6">
        <f>SUM(C687:C690)</f>
        <v>4273</v>
      </c>
      <c r="D691" s="6">
        <f t="shared" ref="D691:H691" si="23">SUM(D687:D690)</f>
        <v>7250</v>
      </c>
      <c r="E691" s="6">
        <f t="shared" si="23"/>
        <v>7250</v>
      </c>
      <c r="F691" s="6">
        <f t="shared" si="23"/>
        <v>5213.75</v>
      </c>
      <c r="G691" s="8">
        <f t="shared" si="23"/>
        <v>6290</v>
      </c>
      <c r="H691" s="8">
        <f t="shared" si="23"/>
        <v>6290</v>
      </c>
      <c r="J691"/>
    </row>
    <row r="692" spans="1:10" x14ac:dyDescent="0.25">
      <c r="C692" s="4"/>
      <c r="D692" s="4"/>
      <c r="E692" s="4"/>
      <c r="F692" s="4"/>
    </row>
    <row r="693" spans="1:10" s="3" customFormat="1" x14ac:dyDescent="0.25">
      <c r="A693" s="3" t="s">
        <v>701</v>
      </c>
      <c r="B693" s="3" t="s">
        <v>1372</v>
      </c>
      <c r="C693" s="6">
        <v>452294</v>
      </c>
      <c r="D693" s="6">
        <v>437254</v>
      </c>
      <c r="E693" s="6">
        <v>437254</v>
      </c>
      <c r="F693" s="6">
        <v>439124.29</v>
      </c>
      <c r="G693" s="14">
        <f>G691+G685+G681+G678</f>
        <v>391801.41469999996</v>
      </c>
      <c r="H693" s="14">
        <f>H691+H685+H681+H678</f>
        <v>402278.22964099993</v>
      </c>
      <c r="J693"/>
    </row>
    <row r="694" spans="1:10" x14ac:dyDescent="0.25">
      <c r="C694" s="4"/>
      <c r="D694" s="4"/>
      <c r="E694" s="4"/>
      <c r="F694" s="4"/>
    </row>
    <row r="695" spans="1:10" x14ac:dyDescent="0.25">
      <c r="A695" s="61" t="s">
        <v>702</v>
      </c>
      <c r="B695" s="61" t="s">
        <v>49</v>
      </c>
      <c r="C695" s="62">
        <v>0</v>
      </c>
      <c r="D695" s="62">
        <v>0</v>
      </c>
      <c r="E695" s="62">
        <v>0</v>
      </c>
      <c r="F695" s="62">
        <v>120</v>
      </c>
      <c r="G695" s="63">
        <v>0</v>
      </c>
      <c r="H695" s="63">
        <v>0</v>
      </c>
    </row>
    <row r="696" spans="1:10" x14ac:dyDescent="0.25">
      <c r="A696" s="61" t="s">
        <v>703</v>
      </c>
      <c r="B696" s="61" t="s">
        <v>49</v>
      </c>
      <c r="C696" s="62">
        <v>0</v>
      </c>
      <c r="D696" s="62">
        <v>0</v>
      </c>
      <c r="E696" s="62">
        <v>0</v>
      </c>
      <c r="F696" s="62">
        <v>150</v>
      </c>
      <c r="G696" s="63">
        <v>0</v>
      </c>
      <c r="H696" s="63">
        <v>0</v>
      </c>
    </row>
    <row r="697" spans="1:10" x14ac:dyDescent="0.25">
      <c r="A697" s="61" t="s">
        <v>704</v>
      </c>
      <c r="B697" s="61" t="s">
        <v>49</v>
      </c>
      <c r="C697" s="62">
        <v>0</v>
      </c>
      <c r="D697" s="62">
        <v>0</v>
      </c>
      <c r="E697" s="62">
        <v>0</v>
      </c>
      <c r="F697" s="62">
        <v>210</v>
      </c>
      <c r="G697" s="63">
        <v>0</v>
      </c>
      <c r="H697" s="63">
        <v>0</v>
      </c>
    </row>
    <row r="698" spans="1:10" x14ac:dyDescent="0.25">
      <c r="A698" s="61" t="s">
        <v>705</v>
      </c>
      <c r="B698" s="61" t="s">
        <v>49</v>
      </c>
      <c r="C698" s="62">
        <v>0</v>
      </c>
      <c r="D698" s="62">
        <v>0</v>
      </c>
      <c r="E698" s="62">
        <v>0</v>
      </c>
      <c r="F698" s="62">
        <v>120</v>
      </c>
      <c r="G698" s="63">
        <v>0</v>
      </c>
      <c r="H698" s="63">
        <v>0</v>
      </c>
    </row>
    <row r="699" spans="1:10" x14ac:dyDescent="0.25">
      <c r="A699" s="61" t="s">
        <v>706</v>
      </c>
      <c r="B699" s="61" t="s">
        <v>72</v>
      </c>
      <c r="C699" s="62">
        <v>199980</v>
      </c>
      <c r="D699" s="62">
        <v>195429</v>
      </c>
      <c r="E699" s="62">
        <v>195429</v>
      </c>
      <c r="F699" s="62">
        <v>201990.52</v>
      </c>
      <c r="G699" s="63">
        <f>62304+90371.6+59633.7+90200</f>
        <v>302509.3</v>
      </c>
      <c r="H699" s="62">
        <f>G699+(G699*3%)</f>
        <v>311584.57899999997</v>
      </c>
    </row>
    <row r="700" spans="1:10" x14ac:dyDescent="0.25">
      <c r="A700" s="61" t="s">
        <v>707</v>
      </c>
      <c r="B700" s="61" t="s">
        <v>72</v>
      </c>
      <c r="C700" s="62">
        <v>216025</v>
      </c>
      <c r="D700" s="62">
        <v>212621</v>
      </c>
      <c r="E700" s="62">
        <v>212621</v>
      </c>
      <c r="F700" s="62">
        <v>192913.55</v>
      </c>
      <c r="G700" s="63">
        <f>79000+67500+60000</f>
        <v>206500</v>
      </c>
      <c r="H700" s="62">
        <f t="shared" ref="H700:H703" si="24">G700+(G700*3%)</f>
        <v>212695</v>
      </c>
    </row>
    <row r="701" spans="1:10" x14ac:dyDescent="0.25">
      <c r="A701" s="61" t="s">
        <v>708</v>
      </c>
      <c r="B701" s="61" t="s">
        <v>72</v>
      </c>
      <c r="C701" s="62">
        <v>143451</v>
      </c>
      <c r="D701" s="62">
        <v>71534</v>
      </c>
      <c r="E701" s="62">
        <v>71534</v>
      </c>
      <c r="F701" s="62" t="s">
        <v>0</v>
      </c>
      <c r="G701" s="63">
        <v>0</v>
      </c>
      <c r="H701" s="62">
        <f t="shared" si="24"/>
        <v>0</v>
      </c>
    </row>
    <row r="702" spans="1:10" x14ac:dyDescent="0.25">
      <c r="A702" s="61" t="s">
        <v>709</v>
      </c>
      <c r="B702" s="61" t="s">
        <v>72</v>
      </c>
      <c r="C702" s="62">
        <v>140273</v>
      </c>
      <c r="D702" s="62">
        <v>189559</v>
      </c>
      <c r="E702" s="62">
        <v>189559</v>
      </c>
      <c r="F702" s="62">
        <v>178035.91</v>
      </c>
      <c r="G702" s="63">
        <f>58500+56168+84885</f>
        <v>199553</v>
      </c>
      <c r="H702" s="62">
        <f t="shared" si="24"/>
        <v>205539.59</v>
      </c>
    </row>
    <row r="703" spans="1:10" x14ac:dyDescent="0.25">
      <c r="A703" s="61" t="s">
        <v>710</v>
      </c>
      <c r="B703" s="61" t="s">
        <v>72</v>
      </c>
      <c r="C703" s="62">
        <v>130107</v>
      </c>
      <c r="D703" s="62">
        <v>127072</v>
      </c>
      <c r="E703" s="62">
        <v>127072</v>
      </c>
      <c r="F703" s="62">
        <v>116483.1</v>
      </c>
      <c r="G703" s="63">
        <f>58500+70904.48</f>
        <v>129404.48</v>
      </c>
      <c r="H703" s="62">
        <f t="shared" si="24"/>
        <v>133286.61439999999</v>
      </c>
    </row>
    <row r="704" spans="1:10" x14ac:dyDescent="0.25">
      <c r="A704" s="75" t="s">
        <v>711</v>
      </c>
      <c r="B704" s="75" t="s">
        <v>109</v>
      </c>
      <c r="C704" s="63">
        <v>555</v>
      </c>
      <c r="D704" s="63">
        <v>2000</v>
      </c>
      <c r="E704" s="63">
        <v>2000</v>
      </c>
      <c r="F704" s="63">
        <v>830.43</v>
      </c>
      <c r="G704" s="63">
        <v>1000</v>
      </c>
      <c r="H704" s="63">
        <v>2000</v>
      </c>
    </row>
    <row r="705" spans="1:8" x14ac:dyDescent="0.25">
      <c r="A705" s="75" t="s">
        <v>712</v>
      </c>
      <c r="B705" s="75" t="s">
        <v>109</v>
      </c>
      <c r="C705" s="63">
        <v>1908</v>
      </c>
      <c r="D705" s="63">
        <v>2000</v>
      </c>
      <c r="E705" s="63">
        <v>2000</v>
      </c>
      <c r="F705" s="63">
        <v>1534.79</v>
      </c>
      <c r="G705" s="63">
        <v>2000</v>
      </c>
      <c r="H705" s="63">
        <v>2000</v>
      </c>
    </row>
    <row r="706" spans="1:8" x14ac:dyDescent="0.25">
      <c r="A706" s="75" t="s">
        <v>713</v>
      </c>
      <c r="B706" s="75" t="s">
        <v>109</v>
      </c>
      <c r="C706" s="63">
        <v>1841</v>
      </c>
      <c r="D706" s="63">
        <v>2000</v>
      </c>
      <c r="E706" s="63">
        <v>2000</v>
      </c>
      <c r="F706" s="63">
        <v>536.96</v>
      </c>
      <c r="G706" s="63">
        <v>0</v>
      </c>
      <c r="H706" s="63">
        <v>0</v>
      </c>
    </row>
    <row r="707" spans="1:8" x14ac:dyDescent="0.25">
      <c r="A707" s="75" t="s">
        <v>714</v>
      </c>
      <c r="B707" s="75" t="s">
        <v>109</v>
      </c>
      <c r="C707" s="63">
        <v>4616</v>
      </c>
      <c r="D707" s="63">
        <v>1500</v>
      </c>
      <c r="E707" s="63">
        <v>1500</v>
      </c>
      <c r="F707" s="63">
        <v>6594.4</v>
      </c>
      <c r="G707" s="63">
        <v>1500</v>
      </c>
      <c r="H707" s="63">
        <v>1500</v>
      </c>
    </row>
    <row r="708" spans="1:8" x14ac:dyDescent="0.25">
      <c r="A708" s="75" t="s">
        <v>715</v>
      </c>
      <c r="B708" s="75" t="s">
        <v>109</v>
      </c>
      <c r="C708" s="63">
        <v>204</v>
      </c>
      <c r="D708" s="63">
        <v>1500</v>
      </c>
      <c r="E708" s="63">
        <v>1500</v>
      </c>
      <c r="F708" s="63">
        <v>732.3</v>
      </c>
      <c r="G708" s="63">
        <v>1500</v>
      </c>
      <c r="H708" s="63">
        <v>1500</v>
      </c>
    </row>
    <row r="709" spans="1:8" x14ac:dyDescent="0.25">
      <c r="A709" s="75" t="s">
        <v>716</v>
      </c>
      <c r="B709" s="75" t="s">
        <v>126</v>
      </c>
      <c r="C709" s="63" t="s">
        <v>0</v>
      </c>
      <c r="D709" s="63">
        <v>6000</v>
      </c>
      <c r="E709" s="63">
        <v>6000</v>
      </c>
      <c r="F709" s="63" t="s">
        <v>0</v>
      </c>
      <c r="G709" s="63">
        <v>0</v>
      </c>
      <c r="H709" s="63">
        <v>0</v>
      </c>
    </row>
    <row r="710" spans="1:8" x14ac:dyDescent="0.25">
      <c r="A710" s="75" t="s">
        <v>717</v>
      </c>
      <c r="B710" s="75" t="s">
        <v>126</v>
      </c>
      <c r="C710" s="63">
        <v>900</v>
      </c>
      <c r="D710" s="63">
        <v>3000</v>
      </c>
      <c r="E710" s="63">
        <v>3000</v>
      </c>
      <c r="F710" s="63">
        <v>300</v>
      </c>
      <c r="G710" s="63">
        <v>1000</v>
      </c>
      <c r="H710" s="63">
        <v>1000</v>
      </c>
    </row>
    <row r="711" spans="1:8" x14ac:dyDescent="0.25">
      <c r="A711" s="75" t="s">
        <v>718</v>
      </c>
      <c r="B711" s="75" t="s">
        <v>126</v>
      </c>
      <c r="C711" s="63">
        <v>1350</v>
      </c>
      <c r="D711" s="63">
        <v>4000</v>
      </c>
      <c r="E711" s="63">
        <v>4000</v>
      </c>
      <c r="F711" s="63" t="s">
        <v>0</v>
      </c>
      <c r="G711" s="63">
        <v>0</v>
      </c>
      <c r="H711" s="63">
        <v>0</v>
      </c>
    </row>
    <row r="712" spans="1:8" x14ac:dyDescent="0.25">
      <c r="A712" s="75" t="s">
        <v>719</v>
      </c>
      <c r="B712" s="75" t="s">
        <v>126</v>
      </c>
      <c r="C712" s="63">
        <v>780</v>
      </c>
      <c r="D712" s="63">
        <v>1500</v>
      </c>
      <c r="E712" s="63">
        <v>1500</v>
      </c>
      <c r="F712" s="63">
        <v>1080</v>
      </c>
      <c r="G712" s="63">
        <v>1500</v>
      </c>
      <c r="H712" s="63">
        <v>1500</v>
      </c>
    </row>
    <row r="713" spans="1:8" x14ac:dyDescent="0.25">
      <c r="A713" s="75" t="s">
        <v>720</v>
      </c>
      <c r="B713" s="75" t="s">
        <v>126</v>
      </c>
      <c r="C713" s="63">
        <v>3900</v>
      </c>
      <c r="D713" s="63">
        <v>1500</v>
      </c>
      <c r="E713" s="63">
        <v>1500</v>
      </c>
      <c r="F713" s="63">
        <v>1230</v>
      </c>
      <c r="G713" s="63">
        <v>1500</v>
      </c>
      <c r="H713" s="63">
        <v>1500</v>
      </c>
    </row>
    <row r="714" spans="1:8" x14ac:dyDescent="0.25">
      <c r="A714" s="75" t="s">
        <v>721</v>
      </c>
      <c r="B714" s="75" t="s">
        <v>126</v>
      </c>
      <c r="C714" s="63">
        <v>120</v>
      </c>
      <c r="D714" s="63" t="s">
        <v>0</v>
      </c>
      <c r="E714" s="63" t="s">
        <v>0</v>
      </c>
      <c r="F714" s="63" t="s">
        <v>0</v>
      </c>
      <c r="G714" s="63">
        <v>0</v>
      </c>
      <c r="H714" s="63">
        <v>0</v>
      </c>
    </row>
    <row r="715" spans="1:8" x14ac:dyDescent="0.25">
      <c r="A715" s="61" t="s">
        <v>722</v>
      </c>
      <c r="B715" s="61" t="s">
        <v>141</v>
      </c>
      <c r="C715" s="62">
        <v>92829</v>
      </c>
      <c r="D715" s="62">
        <v>93221</v>
      </c>
      <c r="E715" s="62">
        <v>93221</v>
      </c>
      <c r="F715" s="62">
        <v>73980.240000000005</v>
      </c>
      <c r="G715" s="63">
        <f>19546.56+21143.1+32497.55</f>
        <v>73187.210000000006</v>
      </c>
      <c r="H715" s="62">
        <f>G715+(G715*3%)</f>
        <v>75382.826300000001</v>
      </c>
    </row>
    <row r="716" spans="1:8" x14ac:dyDescent="0.25">
      <c r="A716" s="61" t="s">
        <v>723</v>
      </c>
      <c r="B716" s="61" t="s">
        <v>141</v>
      </c>
      <c r="C716" s="62">
        <v>77393</v>
      </c>
      <c r="D716" s="62">
        <v>72536</v>
      </c>
      <c r="E716" s="62">
        <v>72536</v>
      </c>
      <c r="F716" s="62">
        <v>42986.25</v>
      </c>
      <c r="G716" s="63">
        <f>25062.42</f>
        <v>25062.42</v>
      </c>
      <c r="H716" s="62">
        <f t="shared" ref="H716:H720" si="25">G716+(G716*3%)</f>
        <v>25814.292599999997</v>
      </c>
    </row>
    <row r="717" spans="1:8" x14ac:dyDescent="0.25">
      <c r="A717" s="61" t="s">
        <v>724</v>
      </c>
      <c r="B717" s="61" t="s">
        <v>141</v>
      </c>
      <c r="C717" s="62">
        <v>58889</v>
      </c>
      <c r="D717" s="62" t="s">
        <v>0</v>
      </c>
      <c r="E717" s="62" t="s">
        <v>0</v>
      </c>
      <c r="F717" s="64">
        <v>-149.13</v>
      </c>
      <c r="G717" s="63">
        <v>0</v>
      </c>
      <c r="H717" s="62">
        <f t="shared" si="25"/>
        <v>0</v>
      </c>
    </row>
    <row r="718" spans="1:8" x14ac:dyDescent="0.25">
      <c r="A718" s="61" t="s">
        <v>725</v>
      </c>
      <c r="B718" s="61" t="s">
        <v>141</v>
      </c>
      <c r="C718" s="62">
        <v>52939</v>
      </c>
      <c r="D718" s="62">
        <v>50688</v>
      </c>
      <c r="E718" s="62">
        <v>50688</v>
      </c>
      <c r="F718" s="62">
        <v>68698.45</v>
      </c>
      <c r="G718" s="63">
        <f>17847.28+25944.8+15335.84+19868.16</f>
        <v>78996.08</v>
      </c>
      <c r="H718" s="62">
        <f t="shared" si="25"/>
        <v>81365.962400000004</v>
      </c>
    </row>
    <row r="719" spans="1:8" x14ac:dyDescent="0.25">
      <c r="A719" s="61" t="s">
        <v>726</v>
      </c>
      <c r="B719" s="61" t="s">
        <v>141</v>
      </c>
      <c r="C719" s="62">
        <v>46628</v>
      </c>
      <c r="D719" s="62">
        <v>50129</v>
      </c>
      <c r="E719" s="62">
        <v>50129</v>
      </c>
      <c r="F719" s="62">
        <v>37292.86</v>
      </c>
      <c r="G719" s="63">
        <f>28084.65+17902.56</f>
        <v>45987.210000000006</v>
      </c>
      <c r="H719" s="62">
        <f t="shared" si="25"/>
        <v>47366.826300000008</v>
      </c>
    </row>
    <row r="720" spans="1:8" x14ac:dyDescent="0.25">
      <c r="A720" s="61" t="s">
        <v>727</v>
      </c>
      <c r="B720" s="61" t="s">
        <v>141</v>
      </c>
      <c r="C720" s="62">
        <v>20809</v>
      </c>
      <c r="D720" s="62">
        <v>20480</v>
      </c>
      <c r="E720" s="62">
        <v>20480</v>
      </c>
      <c r="F720" s="62">
        <v>19174.740000000002</v>
      </c>
      <c r="G720" s="63">
        <f>20480.24</f>
        <v>20480.240000000002</v>
      </c>
      <c r="H720" s="62">
        <f t="shared" si="25"/>
        <v>21094.647200000003</v>
      </c>
    </row>
    <row r="721" spans="1:8" x14ac:dyDescent="0.25">
      <c r="A721" s="61" t="s">
        <v>728</v>
      </c>
      <c r="B721" s="61" t="s">
        <v>160</v>
      </c>
      <c r="C721" s="62">
        <v>750</v>
      </c>
      <c r="D721" s="62" t="s">
        <v>0</v>
      </c>
      <c r="E721" s="62" t="s">
        <v>0</v>
      </c>
      <c r="F721" s="62" t="s">
        <v>0</v>
      </c>
      <c r="G721" s="63">
        <v>0</v>
      </c>
      <c r="H721" s="63">
        <v>0</v>
      </c>
    </row>
    <row r="722" spans="1:8" x14ac:dyDescent="0.25">
      <c r="A722" s="61" t="s">
        <v>729</v>
      </c>
      <c r="B722" s="61" t="s">
        <v>160</v>
      </c>
      <c r="C722" s="62">
        <v>900</v>
      </c>
      <c r="D722" s="62">
        <v>900</v>
      </c>
      <c r="E722" s="62">
        <v>900</v>
      </c>
      <c r="F722" s="62">
        <v>750</v>
      </c>
      <c r="G722" s="63">
        <v>0</v>
      </c>
      <c r="H722" s="63">
        <v>0</v>
      </c>
    </row>
    <row r="723" spans="1:8" x14ac:dyDescent="0.25">
      <c r="A723" s="61" t="s">
        <v>730</v>
      </c>
      <c r="B723" s="61" t="s">
        <v>162</v>
      </c>
      <c r="C723" s="62">
        <v>2400</v>
      </c>
      <c r="D723" s="62">
        <v>2400</v>
      </c>
      <c r="E723" s="62">
        <v>2400</v>
      </c>
      <c r="F723" s="62">
        <v>2000</v>
      </c>
      <c r="G723" s="63">
        <v>0</v>
      </c>
      <c r="H723" s="63">
        <v>0</v>
      </c>
    </row>
    <row r="724" spans="1:8" x14ac:dyDescent="0.25">
      <c r="A724" s="61" t="s">
        <v>731</v>
      </c>
      <c r="B724" s="61" t="s">
        <v>169</v>
      </c>
      <c r="C724" s="62">
        <v>2000</v>
      </c>
      <c r="D724" s="62" t="s">
        <v>0</v>
      </c>
      <c r="E724" s="62" t="s">
        <v>0</v>
      </c>
      <c r="F724" s="62" t="s">
        <v>0</v>
      </c>
      <c r="G724" s="63">
        <v>0</v>
      </c>
      <c r="H724" s="63">
        <v>0</v>
      </c>
    </row>
    <row r="725" spans="1:8" x14ac:dyDescent="0.25">
      <c r="A725" s="61" t="s">
        <v>732</v>
      </c>
      <c r="B725" s="61" t="s">
        <v>172</v>
      </c>
      <c r="C725" s="62">
        <v>4086</v>
      </c>
      <c r="D725" s="62">
        <v>3632</v>
      </c>
      <c r="E725" s="62">
        <v>3632</v>
      </c>
      <c r="F725" s="62">
        <v>3989.42</v>
      </c>
      <c r="G725" s="63">
        <f>(G695+G699+G704+G709+G715)*1.45%</f>
        <v>5462.0993950000002</v>
      </c>
      <c r="H725" s="63">
        <f>(H695+H699+H704+H709+H715)*1.45%</f>
        <v>5640.0273768499992</v>
      </c>
    </row>
    <row r="726" spans="1:8" x14ac:dyDescent="0.25">
      <c r="A726" s="61" t="s">
        <v>733</v>
      </c>
      <c r="B726" s="61" t="s">
        <v>172</v>
      </c>
      <c r="C726" s="62">
        <v>4127</v>
      </c>
      <c r="D726" s="62">
        <v>3864</v>
      </c>
      <c r="E726" s="62">
        <v>3864</v>
      </c>
      <c r="F726" s="62">
        <v>3354.63</v>
      </c>
      <c r="G726" s="63">
        <f>(G696+G700+G705+G710+G716)*1.45%</f>
        <v>3401.1550899999997</v>
      </c>
      <c r="H726" s="63">
        <f>(H696+H700+H705+H710+H716)*1.45%</f>
        <v>3501.8847426999996</v>
      </c>
    </row>
    <row r="727" spans="1:8" x14ac:dyDescent="0.25">
      <c r="A727" s="61" t="s">
        <v>734</v>
      </c>
      <c r="B727" s="61" t="s">
        <v>172</v>
      </c>
      <c r="C727" s="62">
        <v>2605</v>
      </c>
      <c r="D727" s="62">
        <v>3236</v>
      </c>
      <c r="E727" s="62">
        <v>3236</v>
      </c>
      <c r="F727" s="62">
        <v>6.81</v>
      </c>
      <c r="G727" s="63">
        <v>0</v>
      </c>
      <c r="H727" s="63">
        <v>1</v>
      </c>
    </row>
    <row r="728" spans="1:8" x14ac:dyDescent="0.25">
      <c r="A728" s="61" t="s">
        <v>735</v>
      </c>
      <c r="B728" s="61" t="s">
        <v>172</v>
      </c>
      <c r="C728" s="62">
        <v>2771</v>
      </c>
      <c r="D728" s="62">
        <v>2664</v>
      </c>
      <c r="E728" s="62">
        <v>2664</v>
      </c>
      <c r="F728" s="62">
        <v>3367.21</v>
      </c>
      <c r="G728" s="63">
        <f>(G697+G702+G707+G712+G718+G722+G723)*1.45%</f>
        <v>4082.4616599999999</v>
      </c>
      <c r="H728" s="63">
        <f>(H697+H702+H707+H712+H718+H722+H723)*1.45%</f>
        <v>4203.6305097999993</v>
      </c>
    </row>
    <row r="729" spans="1:8" x14ac:dyDescent="0.25">
      <c r="A729" s="61" t="s">
        <v>736</v>
      </c>
      <c r="B729" s="61" t="s">
        <v>172</v>
      </c>
      <c r="C729" s="62">
        <v>2505</v>
      </c>
      <c r="D729" s="62">
        <v>1637</v>
      </c>
      <c r="E729" s="62">
        <v>1637</v>
      </c>
      <c r="F729" s="62">
        <v>2186.4899999999998</v>
      </c>
      <c r="G729" s="63">
        <f>(G698+G703+G708+G713+G719)*1.45%</f>
        <v>2586.6795050000001</v>
      </c>
      <c r="H729" s="63">
        <f>(H698+H703+H708+H713+H719)*1.45%</f>
        <v>2662.9748901499997</v>
      </c>
    </row>
    <row r="730" spans="1:8" x14ac:dyDescent="0.25">
      <c r="A730" s="61" t="s">
        <v>737</v>
      </c>
      <c r="B730" s="61" t="s">
        <v>172</v>
      </c>
      <c r="C730" s="62">
        <v>303</v>
      </c>
      <c r="D730" s="62" t="s">
        <v>0</v>
      </c>
      <c r="E730" s="62" t="s">
        <v>0</v>
      </c>
      <c r="F730" s="62">
        <v>270.48</v>
      </c>
      <c r="G730" s="63">
        <f>(G714+G720)*1.45%</f>
        <v>296.96348</v>
      </c>
      <c r="H730" s="63">
        <f>(H714+H720)*1.45%</f>
        <v>305.87238440000004</v>
      </c>
    </row>
    <row r="731" spans="1:8" x14ac:dyDescent="0.25">
      <c r="A731" s="61" t="s">
        <v>738</v>
      </c>
      <c r="B731" s="61" t="s">
        <v>218</v>
      </c>
      <c r="C731" s="62">
        <v>16695</v>
      </c>
      <c r="D731" s="62">
        <v>14958</v>
      </c>
      <c r="E731" s="62">
        <v>14958</v>
      </c>
      <c r="F731" s="62">
        <v>16261.41</v>
      </c>
      <c r="G731" s="63">
        <v>14958</v>
      </c>
      <c r="H731" s="63">
        <v>14958</v>
      </c>
    </row>
    <row r="732" spans="1:8" x14ac:dyDescent="0.25">
      <c r="A732" s="61" t="s">
        <v>739</v>
      </c>
      <c r="B732" s="61" t="s">
        <v>218</v>
      </c>
      <c r="C732" s="62">
        <v>25460</v>
      </c>
      <c r="D732" s="62">
        <v>23979</v>
      </c>
      <c r="E732" s="62">
        <v>23979</v>
      </c>
      <c r="F732" s="62">
        <v>21889.200000000001</v>
      </c>
      <c r="G732" s="63">
        <v>23979</v>
      </c>
      <c r="H732" s="63">
        <v>23979</v>
      </c>
    </row>
    <row r="733" spans="1:8" x14ac:dyDescent="0.25">
      <c r="A733" s="61" t="s">
        <v>740</v>
      </c>
      <c r="B733" s="61" t="s">
        <v>218</v>
      </c>
      <c r="C733" s="62">
        <v>18581</v>
      </c>
      <c r="D733" s="62">
        <v>20079</v>
      </c>
      <c r="E733" s="62">
        <v>20079</v>
      </c>
      <c r="F733" s="62">
        <v>229.34</v>
      </c>
      <c r="G733" s="63">
        <v>0</v>
      </c>
      <c r="H733" s="63">
        <v>0</v>
      </c>
    </row>
    <row r="734" spans="1:8" x14ac:dyDescent="0.25">
      <c r="A734" s="61" t="s">
        <v>741</v>
      </c>
      <c r="B734" s="61" t="s">
        <v>218</v>
      </c>
      <c r="C734" s="62">
        <v>21064</v>
      </c>
      <c r="D734" s="62">
        <v>19032</v>
      </c>
      <c r="E734" s="62">
        <v>19032</v>
      </c>
      <c r="F734" s="62">
        <v>27414.3</v>
      </c>
      <c r="G734" s="63">
        <v>19032</v>
      </c>
      <c r="H734" s="63">
        <v>19032</v>
      </c>
    </row>
    <row r="735" spans="1:8" x14ac:dyDescent="0.25">
      <c r="A735" s="61" t="s">
        <v>742</v>
      </c>
      <c r="B735" s="61" t="s">
        <v>218</v>
      </c>
      <c r="C735" s="62">
        <v>20711</v>
      </c>
      <c r="D735" s="62">
        <v>9720</v>
      </c>
      <c r="E735" s="62">
        <v>9720</v>
      </c>
      <c r="F735" s="62">
        <v>16732.05</v>
      </c>
      <c r="G735" s="63">
        <v>9720</v>
      </c>
      <c r="H735" s="63">
        <v>9720</v>
      </c>
    </row>
    <row r="736" spans="1:8" x14ac:dyDescent="0.25">
      <c r="A736" s="61" t="s">
        <v>743</v>
      </c>
      <c r="B736" s="61" t="s">
        <v>218</v>
      </c>
      <c r="C736" s="62">
        <v>1065</v>
      </c>
      <c r="D736" s="62" t="s">
        <v>0</v>
      </c>
      <c r="E736" s="62" t="s">
        <v>0</v>
      </c>
      <c r="F736" s="62">
        <v>4947.03</v>
      </c>
      <c r="G736" s="63" t="s">
        <v>0</v>
      </c>
      <c r="H736" s="63" t="s">
        <v>0</v>
      </c>
    </row>
    <row r="737" spans="1:8" x14ac:dyDescent="0.25">
      <c r="A737" s="61" t="s">
        <v>744</v>
      </c>
      <c r="B737" s="61" t="s">
        <v>249</v>
      </c>
      <c r="C737" s="62">
        <v>2836</v>
      </c>
      <c r="D737" s="62">
        <v>1372</v>
      </c>
      <c r="E737" s="62">
        <v>1372</v>
      </c>
      <c r="F737" s="62">
        <v>4635.8999999999996</v>
      </c>
      <c r="G737" s="63">
        <f>(G695+G699+G704+G709+G715)*0.65%</f>
        <v>2448.5273150000003</v>
      </c>
      <c r="H737" s="63">
        <f>(H695+H699+H704+H709+H715)*0.65%</f>
        <v>2528.2881344500001</v>
      </c>
    </row>
    <row r="738" spans="1:8" x14ac:dyDescent="0.25">
      <c r="A738" s="61" t="s">
        <v>745</v>
      </c>
      <c r="B738" s="61" t="s">
        <v>249</v>
      </c>
      <c r="C738" s="62">
        <v>1703</v>
      </c>
      <c r="D738" s="62">
        <v>1601</v>
      </c>
      <c r="E738" s="62">
        <v>1601</v>
      </c>
      <c r="F738" s="62">
        <v>1054.8499999999999</v>
      </c>
      <c r="G738" s="63">
        <f>(G696+G700+G705+G710+G716)*0.65%</f>
        <v>1524.6557299999999</v>
      </c>
      <c r="H738" s="63">
        <f>(H696+H700+H705+H710+H716)*0.65%</f>
        <v>1569.8104019</v>
      </c>
    </row>
    <row r="739" spans="1:8" x14ac:dyDescent="0.25">
      <c r="A739" s="61" t="s">
        <v>746</v>
      </c>
      <c r="B739" s="61" t="s">
        <v>249</v>
      </c>
      <c r="C739" s="62">
        <v>1253</v>
      </c>
      <c r="D739" s="62">
        <v>1283</v>
      </c>
      <c r="E739" s="62">
        <v>1283</v>
      </c>
      <c r="F739" s="62">
        <v>6.49</v>
      </c>
      <c r="G739" s="63">
        <v>0</v>
      </c>
      <c r="H739" s="63">
        <v>1</v>
      </c>
    </row>
    <row r="740" spans="1:8" x14ac:dyDescent="0.25">
      <c r="A740" s="61" t="s">
        <v>747</v>
      </c>
      <c r="B740" s="61" t="s">
        <v>249</v>
      </c>
      <c r="C740" s="62">
        <v>5581</v>
      </c>
      <c r="D740" s="62">
        <v>5393</v>
      </c>
      <c r="E740" s="62">
        <v>5393</v>
      </c>
      <c r="F740" s="62">
        <v>5792.83</v>
      </c>
      <c r="G740" s="63">
        <f>(G697+G702+G707+G712+G718+G722+G723)*0.65%</f>
        <v>1830.0690200000004</v>
      </c>
      <c r="H740" s="63">
        <f>(H697+H702+H707+H712+H718+H722+H723)*0.65%</f>
        <v>1884.3860906</v>
      </c>
    </row>
    <row r="741" spans="1:8" x14ac:dyDescent="0.25">
      <c r="A741" s="61" t="s">
        <v>748</v>
      </c>
      <c r="B741" s="61" t="s">
        <v>249</v>
      </c>
      <c r="C741" s="62">
        <v>1116</v>
      </c>
      <c r="D741" s="62">
        <v>726</v>
      </c>
      <c r="E741" s="62">
        <v>726</v>
      </c>
      <c r="F741" s="62">
        <v>999.59</v>
      </c>
      <c r="G741" s="63">
        <f>(G698+G703+G708+G713+G719)*0.65%</f>
        <v>1159.5459850000002</v>
      </c>
      <c r="H741" s="63">
        <f>(H698+H703+H708+H713+H719)*0.65%</f>
        <v>1193.7473645500002</v>
      </c>
    </row>
    <row r="742" spans="1:8" x14ac:dyDescent="0.25">
      <c r="A742" s="61" t="s">
        <v>749</v>
      </c>
      <c r="B742" s="61" t="s">
        <v>249</v>
      </c>
      <c r="C742" s="62">
        <v>133</v>
      </c>
      <c r="D742" s="62" t="s">
        <v>0</v>
      </c>
      <c r="E742" s="62" t="s">
        <v>0</v>
      </c>
      <c r="F742" s="62">
        <v>122.83</v>
      </c>
      <c r="G742" s="63">
        <f>(G714+G720)*0.65%</f>
        <v>133.12156000000002</v>
      </c>
      <c r="H742" s="63">
        <f>(H714+H720)*0.65%</f>
        <v>137.11520680000004</v>
      </c>
    </row>
    <row r="743" spans="1:8" x14ac:dyDescent="0.25">
      <c r="A743" s="61" t="s">
        <v>750</v>
      </c>
      <c r="B743" s="61" t="s">
        <v>292</v>
      </c>
      <c r="C743" s="62">
        <v>15983</v>
      </c>
      <c r="D743" s="62">
        <v>12446</v>
      </c>
      <c r="E743" s="62">
        <v>12446</v>
      </c>
      <c r="F743" s="62">
        <v>21616.13</v>
      </c>
      <c r="G743" s="63">
        <v>12446</v>
      </c>
      <c r="H743" s="62">
        <f>G743+(G743*3%)</f>
        <v>12819.38</v>
      </c>
    </row>
    <row r="744" spans="1:8" x14ac:dyDescent="0.25">
      <c r="A744" s="61" t="s">
        <v>751</v>
      </c>
      <c r="B744" s="61" t="s">
        <v>292</v>
      </c>
      <c r="C744" s="62">
        <v>18842</v>
      </c>
      <c r="D744" s="62">
        <v>12091</v>
      </c>
      <c r="E744" s="62">
        <v>12091</v>
      </c>
      <c r="F744" s="62">
        <v>16423.36</v>
      </c>
      <c r="G744" s="63">
        <v>12091</v>
      </c>
      <c r="H744" s="62">
        <f t="shared" ref="H744:H748" si="26">G744+(G744*3%)</f>
        <v>12453.73</v>
      </c>
    </row>
    <row r="745" spans="1:8" x14ac:dyDescent="0.25">
      <c r="A745" s="61" t="s">
        <v>752</v>
      </c>
      <c r="B745" s="61" t="s">
        <v>292</v>
      </c>
      <c r="C745" s="62">
        <v>12516</v>
      </c>
      <c r="D745" s="62">
        <v>13053</v>
      </c>
      <c r="E745" s="62">
        <v>13053</v>
      </c>
      <c r="F745" s="62">
        <v>66.55</v>
      </c>
      <c r="G745" s="63">
        <v>0</v>
      </c>
      <c r="H745" s="62">
        <f t="shared" si="26"/>
        <v>0</v>
      </c>
    </row>
    <row r="746" spans="1:8" x14ac:dyDescent="0.25">
      <c r="A746" s="61" t="s">
        <v>753</v>
      </c>
      <c r="B746" s="61" t="s">
        <v>292</v>
      </c>
      <c r="C746" s="62">
        <v>13607</v>
      </c>
      <c r="D746" s="62">
        <v>8558</v>
      </c>
      <c r="E746" s="62">
        <v>8558</v>
      </c>
      <c r="F746" s="62">
        <v>17691.88</v>
      </c>
      <c r="G746" s="63">
        <v>8558</v>
      </c>
      <c r="H746" s="62">
        <f t="shared" si="26"/>
        <v>8814.74</v>
      </c>
    </row>
    <row r="747" spans="1:8" x14ac:dyDescent="0.25">
      <c r="A747" s="61" t="s">
        <v>754</v>
      </c>
      <c r="B747" s="61" t="s">
        <v>292</v>
      </c>
      <c r="C747" s="62">
        <v>12879</v>
      </c>
      <c r="D747" s="62">
        <v>4764</v>
      </c>
      <c r="E747" s="62">
        <v>4764</v>
      </c>
      <c r="F747" s="62">
        <v>11426.6</v>
      </c>
      <c r="G747" s="63">
        <v>4764</v>
      </c>
      <c r="H747" s="62">
        <f t="shared" si="26"/>
        <v>4906.92</v>
      </c>
    </row>
    <row r="748" spans="1:8" x14ac:dyDescent="0.25">
      <c r="A748" s="61" t="s">
        <v>755</v>
      </c>
      <c r="B748" s="61" t="s">
        <v>292</v>
      </c>
      <c r="C748" s="62">
        <v>5302</v>
      </c>
      <c r="D748" s="62" t="s">
        <v>0</v>
      </c>
      <c r="E748" s="62" t="s">
        <v>0</v>
      </c>
      <c r="F748" s="62">
        <v>1464.32</v>
      </c>
      <c r="G748" s="63">
        <v>0</v>
      </c>
      <c r="H748" s="62">
        <f t="shared" si="26"/>
        <v>0</v>
      </c>
    </row>
    <row r="749" spans="1:8" x14ac:dyDescent="0.25">
      <c r="A749" s="61" t="s">
        <v>756</v>
      </c>
      <c r="B749" s="61" t="s">
        <v>331</v>
      </c>
      <c r="C749" s="62">
        <v>17124</v>
      </c>
      <c r="D749" s="62">
        <v>9652</v>
      </c>
      <c r="E749" s="62">
        <v>9652</v>
      </c>
      <c r="F749" s="62">
        <v>5670.1</v>
      </c>
      <c r="G749" s="63">
        <f>(G695+G699+G704+G709+G715)*0.75%</f>
        <v>2825.223825</v>
      </c>
      <c r="H749" s="63">
        <f>(H695+H699+H704+H709+H715)*0.75%</f>
        <v>2917.2555397499996</v>
      </c>
    </row>
    <row r="750" spans="1:8" x14ac:dyDescent="0.25">
      <c r="A750" s="61" t="s">
        <v>757</v>
      </c>
      <c r="B750" s="61" t="s">
        <v>331</v>
      </c>
      <c r="C750" s="62">
        <v>9126</v>
      </c>
      <c r="D750" s="62">
        <v>13206</v>
      </c>
      <c r="E750" s="62">
        <v>13206</v>
      </c>
      <c r="F750" s="62">
        <v>6552.44</v>
      </c>
      <c r="G750" s="63">
        <f>(G696+G700+G705+G710+G716)*0.75%</f>
        <v>1759.2181499999999</v>
      </c>
      <c r="H750" s="63">
        <f>(H696+H700+H705+H710+H716)*0.75%</f>
        <v>1811.3196944999997</v>
      </c>
    </row>
    <row r="751" spans="1:8" x14ac:dyDescent="0.25">
      <c r="A751" s="61" t="s">
        <v>758</v>
      </c>
      <c r="B751" s="61" t="s">
        <v>331</v>
      </c>
      <c r="C751" s="62">
        <v>6906</v>
      </c>
      <c r="D751" s="62">
        <v>9111</v>
      </c>
      <c r="E751" s="62">
        <v>9111</v>
      </c>
      <c r="F751" s="62">
        <v>17.489999999999998</v>
      </c>
      <c r="G751" s="63">
        <v>0</v>
      </c>
      <c r="H751" s="63">
        <v>1</v>
      </c>
    </row>
    <row r="752" spans="1:8" x14ac:dyDescent="0.25">
      <c r="A752" s="61" t="s">
        <v>759</v>
      </c>
      <c r="B752" s="61" t="s">
        <v>331</v>
      </c>
      <c r="C752" s="62">
        <v>5282</v>
      </c>
      <c r="D752" s="62">
        <v>8932</v>
      </c>
      <c r="E752" s="62">
        <v>8932</v>
      </c>
      <c r="F752" s="62">
        <v>7013.58</v>
      </c>
      <c r="G752" s="63">
        <f>(G697+G702+G707+G712+G718+G722+G723)*0.75%</f>
        <v>2111.6181000000001</v>
      </c>
      <c r="H752" s="63">
        <f>(H697+H702+H707+H712+H718+H722+H723)*0.75%</f>
        <v>2174.291643</v>
      </c>
    </row>
    <row r="753" spans="1:10" x14ac:dyDescent="0.25">
      <c r="A753" s="61" t="s">
        <v>760</v>
      </c>
      <c r="B753" s="61" t="s">
        <v>331</v>
      </c>
      <c r="C753" s="62">
        <v>4375</v>
      </c>
      <c r="D753" s="62">
        <v>12074</v>
      </c>
      <c r="E753" s="62">
        <v>12074</v>
      </c>
      <c r="F753" s="62">
        <v>3806.98</v>
      </c>
      <c r="G753" s="63">
        <f>(G698+G703+G708+G713+G719)*0.75%</f>
        <v>1337.9376749999999</v>
      </c>
      <c r="H753" s="63">
        <f>(H698+H703+H708+H713+H719)*0.75%</f>
        <v>1377.4008052500001</v>
      </c>
    </row>
    <row r="754" spans="1:10" x14ac:dyDescent="0.25">
      <c r="A754" s="61" t="s">
        <v>761</v>
      </c>
      <c r="B754" s="61" t="s">
        <v>331</v>
      </c>
      <c r="C754" s="62">
        <v>420</v>
      </c>
      <c r="D754" s="62" t="s">
        <v>0</v>
      </c>
      <c r="E754" s="62" t="s">
        <v>0</v>
      </c>
      <c r="F754" s="62">
        <v>387.1</v>
      </c>
      <c r="G754" s="63">
        <f>(G714+G720)*0.75%</f>
        <v>153.6018</v>
      </c>
      <c r="H754" s="63">
        <f>(H714+H720)*0.75%</f>
        <v>158.20985400000001</v>
      </c>
    </row>
    <row r="755" spans="1:10" ht="15.75" thickBot="1" x14ac:dyDescent="0.3">
      <c r="A755" s="61" t="s">
        <v>762</v>
      </c>
      <c r="B755" s="61" t="s">
        <v>1373</v>
      </c>
      <c r="C755" s="65" t="s">
        <v>0</v>
      </c>
      <c r="D755" s="65">
        <v>75</v>
      </c>
      <c r="E755" s="65">
        <v>75</v>
      </c>
      <c r="F755" s="65" t="s">
        <v>0</v>
      </c>
      <c r="G755" s="66">
        <v>0</v>
      </c>
      <c r="H755" s="66">
        <v>1</v>
      </c>
    </row>
    <row r="756" spans="1:10" s="3" customFormat="1" x14ac:dyDescent="0.25">
      <c r="B756" s="3" t="s">
        <v>1274</v>
      </c>
      <c r="C756" s="6">
        <f>SUM(C695:C755)</f>
        <v>1456504</v>
      </c>
      <c r="D756" s="6">
        <f t="shared" ref="D756:F756" si="27">SUM(D695:D755)</f>
        <v>1328707</v>
      </c>
      <c r="E756" s="6">
        <f t="shared" si="27"/>
        <v>1328707</v>
      </c>
      <c r="F756" s="6">
        <f t="shared" si="27"/>
        <v>1152992.7600000007</v>
      </c>
      <c r="G756" s="8">
        <f>SUM(G695:G755)</f>
        <v>1228340.8182900001</v>
      </c>
      <c r="H756" s="8">
        <f>SUM(H695:H755)</f>
        <v>1263884.3228386997</v>
      </c>
      <c r="J756"/>
    </row>
    <row r="757" spans="1:10" x14ac:dyDescent="0.25">
      <c r="C757" s="4"/>
      <c r="D757" s="4"/>
      <c r="E757" s="4"/>
      <c r="F757" s="4"/>
    </row>
    <row r="758" spans="1:10" x14ac:dyDescent="0.25">
      <c r="A758" s="61" t="s">
        <v>763</v>
      </c>
      <c r="B758" s="61" t="s">
        <v>380</v>
      </c>
      <c r="C758" s="62">
        <v>19627</v>
      </c>
      <c r="D758" s="62">
        <v>25000</v>
      </c>
      <c r="E758" s="62">
        <v>25000</v>
      </c>
      <c r="F758" s="62">
        <v>22773.55</v>
      </c>
      <c r="G758" s="63">
        <v>25000</v>
      </c>
      <c r="H758" s="63">
        <v>25000</v>
      </c>
    </row>
    <row r="759" spans="1:10" x14ac:dyDescent="0.25">
      <c r="A759" s="61" t="s">
        <v>764</v>
      </c>
      <c r="B759" s="61" t="s">
        <v>390</v>
      </c>
      <c r="C759" s="62" t="s">
        <v>0</v>
      </c>
      <c r="D759" s="62">
        <v>350</v>
      </c>
      <c r="E759" s="62">
        <v>350</v>
      </c>
      <c r="F759" s="62" t="s">
        <v>0</v>
      </c>
      <c r="G759" s="63">
        <v>350</v>
      </c>
      <c r="H759" s="63">
        <v>350</v>
      </c>
    </row>
    <row r="760" spans="1:10" ht="15.75" thickBot="1" x14ac:dyDescent="0.3">
      <c r="A760" s="61" t="s">
        <v>765</v>
      </c>
      <c r="B760" s="61" t="s">
        <v>1374</v>
      </c>
      <c r="C760" s="65">
        <v>450</v>
      </c>
      <c r="D760" s="65">
        <v>1800</v>
      </c>
      <c r="E760" s="65">
        <v>1800</v>
      </c>
      <c r="F760" s="65">
        <v>780.83</v>
      </c>
      <c r="G760" s="66">
        <v>1800</v>
      </c>
      <c r="H760" s="66">
        <v>1800</v>
      </c>
    </row>
    <row r="761" spans="1:10" s="3" customFormat="1" x14ac:dyDescent="0.25">
      <c r="B761" s="3" t="s">
        <v>1298</v>
      </c>
      <c r="C761" s="6">
        <f>SUM(C758:C760)</f>
        <v>20077</v>
      </c>
      <c r="D761" s="6">
        <f t="shared" ref="D761:H761" si="28">SUM(D758:D760)</f>
        <v>27150</v>
      </c>
      <c r="E761" s="6">
        <f t="shared" si="28"/>
        <v>27150</v>
      </c>
      <c r="F761" s="6">
        <f t="shared" si="28"/>
        <v>23554.38</v>
      </c>
      <c r="G761" s="8">
        <f t="shared" si="28"/>
        <v>27150</v>
      </c>
      <c r="H761" s="8">
        <f t="shared" si="28"/>
        <v>27150</v>
      </c>
      <c r="J761"/>
    </row>
    <row r="762" spans="1:10" x14ac:dyDescent="0.25">
      <c r="C762" s="4"/>
      <c r="D762" s="4"/>
      <c r="E762" s="4"/>
      <c r="F762" s="4"/>
    </row>
    <row r="763" spans="1:10" x14ac:dyDescent="0.25">
      <c r="A763" s="61" t="s">
        <v>767</v>
      </c>
      <c r="B763" s="61" t="s">
        <v>428</v>
      </c>
      <c r="C763" s="62">
        <v>0</v>
      </c>
      <c r="D763" s="62">
        <v>300</v>
      </c>
      <c r="E763" s="62">
        <v>0</v>
      </c>
      <c r="F763" s="62">
        <v>0</v>
      </c>
      <c r="G763" s="63">
        <v>0</v>
      </c>
      <c r="H763" s="63">
        <v>0</v>
      </c>
    </row>
    <row r="764" spans="1:10" x14ac:dyDescent="0.25">
      <c r="A764" s="61" t="s">
        <v>768</v>
      </c>
      <c r="B764" s="61" t="s">
        <v>439</v>
      </c>
      <c r="C764" s="62">
        <v>2453</v>
      </c>
      <c r="D764" s="62">
        <v>3000</v>
      </c>
      <c r="E764" s="62">
        <v>3000</v>
      </c>
      <c r="F764" s="62">
        <v>2628.58</v>
      </c>
      <c r="G764" s="63">
        <v>2500</v>
      </c>
      <c r="H764" s="63">
        <v>2500</v>
      </c>
    </row>
    <row r="765" spans="1:10" x14ac:dyDescent="0.25">
      <c r="A765" s="61" t="s">
        <v>769</v>
      </c>
      <c r="B765" s="61" t="s">
        <v>439</v>
      </c>
      <c r="C765" s="62">
        <v>0</v>
      </c>
      <c r="D765" s="62">
        <v>330</v>
      </c>
      <c r="E765" s="62">
        <v>330</v>
      </c>
      <c r="F765" s="62" t="s">
        <v>0</v>
      </c>
      <c r="G765" s="63">
        <v>330</v>
      </c>
      <c r="H765" s="63">
        <v>330</v>
      </c>
    </row>
    <row r="766" spans="1:10" x14ac:dyDescent="0.25">
      <c r="A766" s="61" t="s">
        <v>770</v>
      </c>
      <c r="B766" s="61" t="s">
        <v>439</v>
      </c>
      <c r="C766" s="62">
        <v>0</v>
      </c>
      <c r="D766" s="62">
        <v>800</v>
      </c>
      <c r="E766" s="62">
        <v>800</v>
      </c>
      <c r="F766" s="62">
        <v>800</v>
      </c>
      <c r="G766" s="63">
        <v>500</v>
      </c>
      <c r="H766" s="63">
        <v>500</v>
      </c>
    </row>
    <row r="767" spans="1:10" x14ac:dyDescent="0.25">
      <c r="A767" s="61" t="s">
        <v>771</v>
      </c>
      <c r="B767" s="61" t="s">
        <v>439</v>
      </c>
      <c r="C767" s="62">
        <v>973</v>
      </c>
      <c r="D767" s="62">
        <v>1173</v>
      </c>
      <c r="E767" s="62">
        <v>845</v>
      </c>
      <c r="F767" s="62">
        <v>845</v>
      </c>
      <c r="G767" s="63">
        <v>850</v>
      </c>
      <c r="H767" s="63">
        <v>850</v>
      </c>
    </row>
    <row r="768" spans="1:10" ht="15.75" thickBot="1" x14ac:dyDescent="0.3">
      <c r="A768" s="61" t="s">
        <v>772</v>
      </c>
      <c r="B768" s="61" t="s">
        <v>1375</v>
      </c>
      <c r="C768" s="65">
        <v>2381</v>
      </c>
      <c r="D768" s="65">
        <v>2500</v>
      </c>
      <c r="E768" s="65">
        <v>2500</v>
      </c>
      <c r="F768" s="65">
        <v>1494.19</v>
      </c>
      <c r="G768" s="66">
        <v>2500</v>
      </c>
      <c r="H768" s="66">
        <v>2500</v>
      </c>
    </row>
    <row r="769" spans="1:10" s="3" customFormat="1" x14ac:dyDescent="0.25">
      <c r="B769" s="3" t="s">
        <v>1320</v>
      </c>
      <c r="C769" s="6">
        <f>SUM(C763:C768)</f>
        <v>5807</v>
      </c>
      <c r="D769" s="6">
        <f t="shared" ref="D769:H769" si="29">SUM(D763:D768)</f>
        <v>8103</v>
      </c>
      <c r="E769" s="6">
        <f t="shared" si="29"/>
        <v>7475</v>
      </c>
      <c r="F769" s="6">
        <f t="shared" si="29"/>
        <v>5767.77</v>
      </c>
      <c r="G769" s="8">
        <f t="shared" si="29"/>
        <v>6680</v>
      </c>
      <c r="H769" s="8">
        <f t="shared" si="29"/>
        <v>6680</v>
      </c>
      <c r="J769"/>
    </row>
    <row r="770" spans="1:10" x14ac:dyDescent="0.25">
      <c r="C770" s="4"/>
      <c r="D770" s="4"/>
      <c r="E770" s="4"/>
      <c r="F770" s="4"/>
    </row>
    <row r="771" spans="1:10" x14ac:dyDescent="0.25">
      <c r="A771" s="61" t="s">
        <v>773</v>
      </c>
      <c r="B771" s="61" t="s">
        <v>525</v>
      </c>
      <c r="C771" s="62">
        <v>3929</v>
      </c>
      <c r="D771" s="62">
        <v>6000</v>
      </c>
      <c r="E771" s="62">
        <v>6000</v>
      </c>
      <c r="F771" s="62">
        <v>3423.62</v>
      </c>
      <c r="G771" s="63">
        <v>5000</v>
      </c>
      <c r="H771" s="63">
        <v>5000</v>
      </c>
    </row>
    <row r="772" spans="1:10" x14ac:dyDescent="0.25">
      <c r="A772" s="61" t="s">
        <v>774</v>
      </c>
      <c r="B772" s="61" t="s">
        <v>525</v>
      </c>
      <c r="C772" s="62">
        <v>361</v>
      </c>
      <c r="D772" s="62">
        <v>3090</v>
      </c>
      <c r="E772" s="62">
        <v>3090</v>
      </c>
      <c r="F772" s="62">
        <v>668.52</v>
      </c>
      <c r="G772" s="63">
        <v>600</v>
      </c>
      <c r="H772" s="63">
        <v>600</v>
      </c>
    </row>
    <row r="773" spans="1:10" x14ac:dyDescent="0.25">
      <c r="A773" s="61" t="s">
        <v>775</v>
      </c>
      <c r="B773" s="61" t="s">
        <v>525</v>
      </c>
      <c r="C773" s="62">
        <v>37</v>
      </c>
      <c r="D773" s="62">
        <v>2000</v>
      </c>
      <c r="E773" s="62">
        <v>2000</v>
      </c>
      <c r="F773" s="62">
        <v>612.02</v>
      </c>
      <c r="G773" s="63">
        <v>2000</v>
      </c>
      <c r="H773" s="63">
        <v>2000</v>
      </c>
    </row>
    <row r="774" spans="1:10" x14ac:dyDescent="0.25">
      <c r="A774" s="61" t="s">
        <v>776</v>
      </c>
      <c r="B774" s="61" t="s">
        <v>525</v>
      </c>
      <c r="C774" s="62">
        <v>1722</v>
      </c>
      <c r="D774" s="62">
        <v>1000</v>
      </c>
      <c r="E774" s="62">
        <v>1872</v>
      </c>
      <c r="F774" s="62">
        <v>1014.04</v>
      </c>
      <c r="G774" s="63">
        <v>1000</v>
      </c>
      <c r="H774" s="63">
        <v>1000</v>
      </c>
    </row>
    <row r="775" spans="1:10" x14ac:dyDescent="0.25">
      <c r="A775" s="61" t="s">
        <v>777</v>
      </c>
      <c r="B775" s="61" t="s">
        <v>545</v>
      </c>
      <c r="C775" s="62">
        <v>855</v>
      </c>
      <c r="D775" s="62">
        <v>594</v>
      </c>
      <c r="E775" s="62">
        <v>594</v>
      </c>
      <c r="F775" s="62" t="s">
        <v>0</v>
      </c>
      <c r="G775" s="63">
        <v>594</v>
      </c>
      <c r="H775" s="63">
        <v>594</v>
      </c>
    </row>
    <row r="776" spans="1:10" x14ac:dyDescent="0.25">
      <c r="A776" s="61" t="s">
        <v>778</v>
      </c>
      <c r="B776" s="61" t="s">
        <v>545</v>
      </c>
      <c r="C776" s="62">
        <v>746</v>
      </c>
      <c r="D776" s="62">
        <v>200</v>
      </c>
      <c r="E776" s="62">
        <v>200</v>
      </c>
      <c r="F776" s="62">
        <v>200</v>
      </c>
      <c r="G776" s="63">
        <v>0</v>
      </c>
      <c r="H776" s="63">
        <v>0</v>
      </c>
    </row>
    <row r="777" spans="1:10" ht="15.75" thickBot="1" x14ac:dyDescent="0.3">
      <c r="A777" s="61" t="s">
        <v>779</v>
      </c>
      <c r="B777" s="61" t="s">
        <v>545</v>
      </c>
      <c r="C777" s="65">
        <v>746</v>
      </c>
      <c r="D777" s="65">
        <v>1000</v>
      </c>
      <c r="E777" s="65">
        <v>756</v>
      </c>
      <c r="F777" s="65">
        <v>756</v>
      </c>
      <c r="G777" s="66">
        <v>750</v>
      </c>
      <c r="H777" s="66">
        <v>750</v>
      </c>
    </row>
    <row r="778" spans="1:10" s="3" customFormat="1" x14ac:dyDescent="0.25">
      <c r="B778" s="3" t="s">
        <v>1359</v>
      </c>
      <c r="C778" s="6">
        <f>SUM(C771:C777)</f>
        <v>8396</v>
      </c>
      <c r="D778" s="6">
        <f t="shared" ref="D778:H778" si="30">SUM(D771:D777)</f>
        <v>13884</v>
      </c>
      <c r="E778" s="6">
        <f t="shared" si="30"/>
        <v>14512</v>
      </c>
      <c r="F778" s="6">
        <f t="shared" si="30"/>
        <v>6674.2</v>
      </c>
      <c r="G778" s="8">
        <f t="shared" si="30"/>
        <v>9944</v>
      </c>
      <c r="H778" s="8">
        <f t="shared" si="30"/>
        <v>9944</v>
      </c>
      <c r="J778"/>
    </row>
    <row r="779" spans="1:10" x14ac:dyDescent="0.25">
      <c r="C779" s="4"/>
      <c r="D779" s="4"/>
      <c r="E779" s="4"/>
      <c r="F779" s="4"/>
    </row>
    <row r="780" spans="1:10" s="3" customFormat="1" x14ac:dyDescent="0.25">
      <c r="A780" s="3" t="s">
        <v>780</v>
      </c>
      <c r="B780" s="3" t="s">
        <v>1376</v>
      </c>
      <c r="C780" s="6">
        <v>1492011</v>
      </c>
      <c r="D780" s="6">
        <v>1377844</v>
      </c>
      <c r="E780" s="6">
        <v>1377844</v>
      </c>
      <c r="F780" s="6">
        <v>1188989.1100000001</v>
      </c>
      <c r="G780" s="14">
        <f>G778+G769+G761+G756</f>
        <v>1272114.8182900001</v>
      </c>
      <c r="H780" s="14">
        <f>H778+H769+H761+H756</f>
        <v>1307658.3228386997</v>
      </c>
      <c r="J780"/>
    </row>
    <row r="781" spans="1:10" x14ac:dyDescent="0.25">
      <c r="C781" s="4"/>
      <c r="D781" s="4"/>
      <c r="E781" s="4"/>
      <c r="F781" s="4"/>
    </row>
    <row r="782" spans="1:10" x14ac:dyDescent="0.25">
      <c r="A782" s="61" t="s">
        <v>781</v>
      </c>
      <c r="B782" s="61" t="s">
        <v>72</v>
      </c>
      <c r="C782" s="62">
        <v>11167</v>
      </c>
      <c r="D782" s="62">
        <v>101647</v>
      </c>
      <c r="E782" s="62">
        <v>101647</v>
      </c>
      <c r="F782" s="62">
        <v>52566.14</v>
      </c>
      <c r="G782" s="63">
        <f>78000</f>
        <v>78000</v>
      </c>
      <c r="H782" s="62">
        <f>G782+(G782*3%)</f>
        <v>80340</v>
      </c>
    </row>
    <row r="783" spans="1:10" x14ac:dyDescent="0.25">
      <c r="A783" s="61" t="s">
        <v>782</v>
      </c>
      <c r="B783" s="61" t="s">
        <v>72</v>
      </c>
      <c r="C783" s="62">
        <v>108951</v>
      </c>
      <c r="D783" s="62" t="s">
        <v>0</v>
      </c>
      <c r="E783" s="62" t="s">
        <v>0</v>
      </c>
      <c r="F783" s="62">
        <v>93880.22</v>
      </c>
      <c r="G783" s="63">
        <f>52627.96+50848.92</f>
        <v>103476.88</v>
      </c>
      <c r="H783" s="62">
        <f t="shared" ref="H783:H795" si="31">G783+(G783*3%)</f>
        <v>106581.18640000001</v>
      </c>
    </row>
    <row r="784" spans="1:10" x14ac:dyDescent="0.25">
      <c r="A784" s="61" t="s">
        <v>783</v>
      </c>
      <c r="B784" s="61" t="s">
        <v>72</v>
      </c>
      <c r="C784" s="62">
        <v>5186</v>
      </c>
      <c r="D784" s="62">
        <v>5182</v>
      </c>
      <c r="E784" s="62">
        <v>5182</v>
      </c>
      <c r="F784" s="62">
        <v>4750.2299999999996</v>
      </c>
      <c r="G784" s="63">
        <f>4029.6</f>
        <v>4029.6</v>
      </c>
      <c r="H784" s="62">
        <f t="shared" si="31"/>
        <v>4150.4880000000003</v>
      </c>
    </row>
    <row r="785" spans="1:14" x14ac:dyDescent="0.25">
      <c r="A785" s="61" t="s">
        <v>784</v>
      </c>
      <c r="B785" s="61" t="s">
        <v>72</v>
      </c>
      <c r="C785" s="62">
        <v>45809</v>
      </c>
      <c r="D785" s="62">
        <v>45086</v>
      </c>
      <c r="E785" s="62">
        <v>45086</v>
      </c>
      <c r="F785" s="62">
        <v>52660.63</v>
      </c>
      <c r="G785" s="63">
        <f>54256.4+3191.54</f>
        <v>57447.94</v>
      </c>
      <c r="H785" s="62">
        <f>55884.09+3191.54</f>
        <v>59075.63</v>
      </c>
      <c r="M785" s="78" t="s">
        <v>1556</v>
      </c>
      <c r="N785" s="50">
        <v>3191.54</v>
      </c>
    </row>
    <row r="786" spans="1:14" x14ac:dyDescent="0.25">
      <c r="A786" s="61" t="s">
        <v>785</v>
      </c>
      <c r="B786" s="61" t="s">
        <v>72</v>
      </c>
      <c r="C786" s="62">
        <v>63958</v>
      </c>
      <c r="D786" s="62">
        <v>63912</v>
      </c>
      <c r="E786" s="62">
        <v>63912</v>
      </c>
      <c r="F786" s="62">
        <v>58585.8</v>
      </c>
      <c r="G786" s="63">
        <f>49698.4</f>
        <v>49698.400000000001</v>
      </c>
      <c r="H786" s="62">
        <f t="shared" si="31"/>
        <v>51189.351999999999</v>
      </c>
      <c r="N786" s="4"/>
    </row>
    <row r="787" spans="1:14" x14ac:dyDescent="0.25">
      <c r="A787" s="61" t="s">
        <v>786</v>
      </c>
      <c r="B787" s="61" t="s">
        <v>72</v>
      </c>
      <c r="C787" s="62">
        <v>11452</v>
      </c>
      <c r="D787" s="62">
        <v>11271</v>
      </c>
      <c r="E787" s="62">
        <v>11271</v>
      </c>
      <c r="F787" s="62" t="s">
        <v>0</v>
      </c>
      <c r="G787" s="63">
        <v>0</v>
      </c>
      <c r="H787" s="62">
        <f t="shared" si="31"/>
        <v>0</v>
      </c>
      <c r="N787" s="4"/>
    </row>
    <row r="788" spans="1:14" x14ac:dyDescent="0.25">
      <c r="A788" s="61" t="s">
        <v>787</v>
      </c>
      <c r="B788" s="61" t="s">
        <v>72</v>
      </c>
      <c r="C788" s="62">
        <v>47604</v>
      </c>
      <c r="D788" s="62" t="s">
        <v>0</v>
      </c>
      <c r="E788" s="62" t="s">
        <v>0</v>
      </c>
      <c r="F788" s="62" t="s">
        <v>0</v>
      </c>
      <c r="G788" s="63">
        <v>0</v>
      </c>
      <c r="H788" s="62">
        <f t="shared" si="31"/>
        <v>0</v>
      </c>
      <c r="N788" s="4"/>
    </row>
    <row r="789" spans="1:14" x14ac:dyDescent="0.25">
      <c r="A789" s="61" t="s">
        <v>788</v>
      </c>
      <c r="B789" s="61" t="s">
        <v>72</v>
      </c>
      <c r="C789" s="62">
        <v>5291</v>
      </c>
      <c r="D789" s="62">
        <v>5207</v>
      </c>
      <c r="E789" s="62">
        <v>5207</v>
      </c>
      <c r="F789" s="62">
        <v>4773.12</v>
      </c>
      <c r="G789" s="63">
        <f>5207.08</f>
        <v>5207.08</v>
      </c>
      <c r="H789" s="62">
        <f t="shared" si="31"/>
        <v>5363.2924000000003</v>
      </c>
      <c r="N789" s="4"/>
    </row>
    <row r="790" spans="1:14" x14ac:dyDescent="0.25">
      <c r="A790" s="61" t="s">
        <v>789</v>
      </c>
      <c r="B790" s="61" t="s">
        <v>72</v>
      </c>
      <c r="C790" s="62">
        <v>27865</v>
      </c>
      <c r="D790" s="62">
        <v>49410</v>
      </c>
      <c r="E790" s="62">
        <v>49410</v>
      </c>
      <c r="F790" s="62">
        <v>46601.279999999999</v>
      </c>
      <c r="G790" s="63">
        <f>48013.4+2824.36</f>
        <v>50837.760000000002</v>
      </c>
      <c r="H790" s="62">
        <f>49453.8+2824.36</f>
        <v>52278.16</v>
      </c>
      <c r="M790" s="78" t="s">
        <v>1555</v>
      </c>
      <c r="N790" s="50">
        <v>2824.36</v>
      </c>
    </row>
    <row r="791" spans="1:14" x14ac:dyDescent="0.25">
      <c r="A791" s="61" t="s">
        <v>790</v>
      </c>
      <c r="B791" s="61" t="s">
        <v>72</v>
      </c>
      <c r="C791" s="62">
        <v>50400</v>
      </c>
      <c r="D791" s="62">
        <v>49604</v>
      </c>
      <c r="E791" s="62">
        <v>49604</v>
      </c>
      <c r="F791" s="62">
        <v>85153.01</v>
      </c>
      <c r="G791" s="63">
        <f>49604.32+45027.48</f>
        <v>94631.8</v>
      </c>
      <c r="H791" s="62">
        <f t="shared" si="31"/>
        <v>97470.754000000001</v>
      </c>
    </row>
    <row r="792" spans="1:14" x14ac:dyDescent="0.25">
      <c r="A792" s="61" t="s">
        <v>791</v>
      </c>
      <c r="B792" s="61" t="s">
        <v>72</v>
      </c>
      <c r="C792" s="62">
        <v>5087</v>
      </c>
      <c r="D792" s="62">
        <v>5083</v>
      </c>
      <c r="E792" s="62">
        <v>5083</v>
      </c>
      <c r="F792" s="62">
        <v>4659.05</v>
      </c>
      <c r="G792" s="63">
        <f>5082.65</f>
        <v>5082.6499999999996</v>
      </c>
      <c r="H792" s="62">
        <f t="shared" si="31"/>
        <v>5235.1295</v>
      </c>
    </row>
    <row r="793" spans="1:14" x14ac:dyDescent="0.25">
      <c r="A793" s="61" t="s">
        <v>792</v>
      </c>
      <c r="B793" s="61" t="s">
        <v>72</v>
      </c>
      <c r="C793" s="62">
        <v>23756</v>
      </c>
      <c r="D793" s="62">
        <v>1396</v>
      </c>
      <c r="E793" s="62">
        <v>1396</v>
      </c>
      <c r="F793" s="62" t="s">
        <v>0</v>
      </c>
      <c r="G793" s="63">
        <v>0</v>
      </c>
      <c r="H793" s="62">
        <f t="shared" si="31"/>
        <v>0</v>
      </c>
    </row>
    <row r="794" spans="1:14" x14ac:dyDescent="0.25">
      <c r="A794" s="61" t="s">
        <v>793</v>
      </c>
      <c r="B794" s="61" t="s">
        <v>72</v>
      </c>
      <c r="C794" s="62">
        <v>55252</v>
      </c>
      <c r="D794" s="62">
        <v>51391</v>
      </c>
      <c r="E794" s="62">
        <v>51391</v>
      </c>
      <c r="F794" s="62">
        <v>47108.68</v>
      </c>
      <c r="G794" s="63">
        <f>51391.24</f>
        <v>51391.24</v>
      </c>
      <c r="H794" s="62">
        <f t="shared" si="31"/>
        <v>52932.977200000001</v>
      </c>
    </row>
    <row r="795" spans="1:14" x14ac:dyDescent="0.25">
      <c r="A795" s="61" t="s">
        <v>794</v>
      </c>
      <c r="B795" s="61" t="s">
        <v>72</v>
      </c>
      <c r="C795" s="62">
        <v>58273</v>
      </c>
      <c r="D795" s="62">
        <v>60909</v>
      </c>
      <c r="E795" s="62">
        <v>60909</v>
      </c>
      <c r="F795" s="62" t="s">
        <v>0</v>
      </c>
      <c r="G795" s="63">
        <v>0</v>
      </c>
      <c r="H795" s="62">
        <f t="shared" si="31"/>
        <v>0</v>
      </c>
    </row>
    <row r="796" spans="1:14" x14ac:dyDescent="0.25">
      <c r="A796" s="75" t="s">
        <v>795</v>
      </c>
      <c r="B796" s="75" t="s">
        <v>109</v>
      </c>
      <c r="C796" s="63" t="s">
        <v>0</v>
      </c>
      <c r="D796" s="63">
        <v>3000</v>
      </c>
      <c r="E796" s="63">
        <v>3000</v>
      </c>
      <c r="F796" s="63" t="s">
        <v>0</v>
      </c>
      <c r="G796" s="63">
        <v>0</v>
      </c>
      <c r="H796" s="63">
        <v>0</v>
      </c>
    </row>
    <row r="797" spans="1:14" x14ac:dyDescent="0.25">
      <c r="A797" s="61" t="s">
        <v>796</v>
      </c>
      <c r="B797" s="61" t="s">
        <v>141</v>
      </c>
      <c r="C797" s="62">
        <v>21271</v>
      </c>
      <c r="D797" s="62">
        <v>21649</v>
      </c>
      <c r="E797" s="62">
        <v>21649</v>
      </c>
      <c r="F797" s="62">
        <v>19304.66</v>
      </c>
      <c r="G797" s="63">
        <f>21648.64</f>
        <v>21648.639999999999</v>
      </c>
      <c r="H797" s="63">
        <f>21648.64</f>
        <v>21648.639999999999</v>
      </c>
    </row>
    <row r="798" spans="1:14" x14ac:dyDescent="0.25">
      <c r="A798" s="61" t="s">
        <v>797</v>
      </c>
      <c r="B798" s="61" t="s">
        <v>162</v>
      </c>
      <c r="C798" s="62">
        <v>1016</v>
      </c>
      <c r="D798" s="62">
        <v>1000</v>
      </c>
      <c r="E798" s="62">
        <v>1000</v>
      </c>
      <c r="F798" s="62" t="s">
        <v>0</v>
      </c>
      <c r="G798" s="63">
        <v>0</v>
      </c>
      <c r="H798" s="63">
        <v>0</v>
      </c>
    </row>
    <row r="799" spans="1:14" x14ac:dyDescent="0.25">
      <c r="A799" s="61" t="s">
        <v>798</v>
      </c>
      <c r="B799" s="61" t="s">
        <v>172</v>
      </c>
      <c r="C799" s="62">
        <v>154</v>
      </c>
      <c r="D799" s="62">
        <v>886</v>
      </c>
      <c r="E799" s="62">
        <v>886</v>
      </c>
      <c r="F799" s="62">
        <v>621.05999999999995</v>
      </c>
      <c r="G799" s="63">
        <f>G782*1.45%</f>
        <v>1131</v>
      </c>
      <c r="H799" s="63">
        <f>H782*1.45%</f>
        <v>1164.9299999999998</v>
      </c>
    </row>
    <row r="800" spans="1:14" x14ac:dyDescent="0.25">
      <c r="A800" s="61" t="s">
        <v>799</v>
      </c>
      <c r="B800" s="61" t="s">
        <v>172</v>
      </c>
      <c r="C800" s="62">
        <v>1570</v>
      </c>
      <c r="D800" s="62">
        <v>311</v>
      </c>
      <c r="E800" s="62">
        <v>311</v>
      </c>
      <c r="F800" s="62">
        <v>1403.87</v>
      </c>
      <c r="G800" s="63">
        <f>(G783+G797)*1.45%</f>
        <v>1814.3200399999998</v>
      </c>
      <c r="H800" s="63">
        <f>(H783+H797)*1.45%</f>
        <v>1859.3324828</v>
      </c>
    </row>
    <row r="801" spans="1:8" x14ac:dyDescent="0.25">
      <c r="A801" s="61" t="s">
        <v>800</v>
      </c>
      <c r="B801" s="61" t="s">
        <v>172</v>
      </c>
      <c r="C801" s="62">
        <v>72</v>
      </c>
      <c r="D801" s="62">
        <v>74</v>
      </c>
      <c r="E801" s="62">
        <v>74</v>
      </c>
      <c r="F801" s="62">
        <v>66.41</v>
      </c>
      <c r="G801" s="63">
        <f t="shared" ref="G801:H803" si="32">G784*1.45%</f>
        <v>58.429199999999994</v>
      </c>
      <c r="H801" s="63">
        <f t="shared" si="32"/>
        <v>60.182076000000002</v>
      </c>
    </row>
    <row r="802" spans="1:8" x14ac:dyDescent="0.25">
      <c r="A802" s="61" t="s">
        <v>801</v>
      </c>
      <c r="B802" s="61" t="s">
        <v>172</v>
      </c>
      <c r="C802" s="62">
        <v>655</v>
      </c>
      <c r="D802" s="62">
        <v>654</v>
      </c>
      <c r="E802" s="62">
        <v>654</v>
      </c>
      <c r="F802" s="62">
        <v>753.23</v>
      </c>
      <c r="G802" s="63">
        <f t="shared" si="32"/>
        <v>832.99513000000002</v>
      </c>
      <c r="H802" s="63">
        <f t="shared" si="32"/>
        <v>856.59663499999988</v>
      </c>
    </row>
    <row r="803" spans="1:8" x14ac:dyDescent="0.25">
      <c r="A803" s="61" t="s">
        <v>802</v>
      </c>
      <c r="B803" s="61" t="s">
        <v>172</v>
      </c>
      <c r="C803" s="62">
        <v>893</v>
      </c>
      <c r="D803" s="62">
        <v>313</v>
      </c>
      <c r="E803" s="62">
        <v>313</v>
      </c>
      <c r="F803" s="62">
        <v>818.53</v>
      </c>
      <c r="G803" s="63">
        <f t="shared" si="32"/>
        <v>720.6268</v>
      </c>
      <c r="H803" s="63">
        <f t="shared" si="32"/>
        <v>742.24560399999996</v>
      </c>
    </row>
    <row r="804" spans="1:8" x14ac:dyDescent="0.25">
      <c r="A804" s="61" t="s">
        <v>803</v>
      </c>
      <c r="B804" s="61" t="s">
        <v>172</v>
      </c>
      <c r="C804" s="62">
        <v>164</v>
      </c>
      <c r="D804" s="62">
        <v>163</v>
      </c>
      <c r="E804" s="62">
        <v>163</v>
      </c>
      <c r="F804" s="62" t="s">
        <v>0</v>
      </c>
      <c r="G804" s="63">
        <v>0</v>
      </c>
      <c r="H804" s="63">
        <v>0</v>
      </c>
    </row>
    <row r="805" spans="1:8" x14ac:dyDescent="0.25">
      <c r="A805" s="61" t="s">
        <v>804</v>
      </c>
      <c r="B805" s="61" t="s">
        <v>172</v>
      </c>
      <c r="C805" s="62">
        <v>571</v>
      </c>
      <c r="D805" s="62">
        <v>752</v>
      </c>
      <c r="E805" s="62">
        <v>752</v>
      </c>
      <c r="F805" s="62" t="s">
        <v>0</v>
      </c>
      <c r="G805" s="63">
        <v>0</v>
      </c>
      <c r="H805" s="63">
        <v>0</v>
      </c>
    </row>
    <row r="806" spans="1:8" x14ac:dyDescent="0.25">
      <c r="A806" s="61" t="s">
        <v>805</v>
      </c>
      <c r="B806" s="61" t="s">
        <v>172</v>
      </c>
      <c r="C806" s="62">
        <v>69</v>
      </c>
      <c r="D806" s="62">
        <v>75</v>
      </c>
      <c r="E806" s="62">
        <v>75</v>
      </c>
      <c r="F806" s="62">
        <v>62.26</v>
      </c>
      <c r="G806" s="63">
        <f t="shared" ref="G806:H811" si="33">G789*1.45%</f>
        <v>75.502659999999992</v>
      </c>
      <c r="H806" s="63">
        <f t="shared" si="33"/>
        <v>77.767739800000001</v>
      </c>
    </row>
    <row r="807" spans="1:8" x14ac:dyDescent="0.25">
      <c r="A807" s="61" t="s">
        <v>806</v>
      </c>
      <c r="B807" s="61" t="s">
        <v>172</v>
      </c>
      <c r="C807" s="62">
        <v>379</v>
      </c>
      <c r="D807" s="62">
        <v>368</v>
      </c>
      <c r="E807" s="62">
        <v>368</v>
      </c>
      <c r="F807" s="62">
        <v>615.03</v>
      </c>
      <c r="G807" s="63">
        <f t="shared" si="33"/>
        <v>737.14751999999999</v>
      </c>
      <c r="H807" s="63">
        <f t="shared" si="33"/>
        <v>758.03332</v>
      </c>
    </row>
    <row r="808" spans="1:8" x14ac:dyDescent="0.25">
      <c r="A808" s="61" t="s">
        <v>807</v>
      </c>
      <c r="B808" s="61" t="s">
        <v>172</v>
      </c>
      <c r="C808" s="62">
        <v>656</v>
      </c>
      <c r="D808" s="62">
        <v>712</v>
      </c>
      <c r="E808" s="62">
        <v>712</v>
      </c>
      <c r="F808" s="62">
        <v>1168.52</v>
      </c>
      <c r="G808" s="63">
        <f t="shared" si="33"/>
        <v>1372.1611</v>
      </c>
      <c r="H808" s="63">
        <f t="shared" si="33"/>
        <v>1413.3259329999998</v>
      </c>
    </row>
    <row r="809" spans="1:8" x14ac:dyDescent="0.25">
      <c r="A809" s="61" t="s">
        <v>808</v>
      </c>
      <c r="B809" s="61" t="s">
        <v>172</v>
      </c>
      <c r="C809" s="62">
        <v>64</v>
      </c>
      <c r="D809" s="62">
        <v>73</v>
      </c>
      <c r="E809" s="62">
        <v>73</v>
      </c>
      <c r="F809" s="62">
        <v>59.29</v>
      </c>
      <c r="G809" s="63">
        <f t="shared" si="33"/>
        <v>73.698424999999986</v>
      </c>
      <c r="H809" s="63">
        <f t="shared" si="33"/>
        <v>75.90937774999999</v>
      </c>
    </row>
    <row r="810" spans="1:8" x14ac:dyDescent="0.25">
      <c r="A810" s="61" t="s">
        <v>809</v>
      </c>
      <c r="B810" s="61" t="s">
        <v>172</v>
      </c>
      <c r="C810" s="62">
        <v>320</v>
      </c>
      <c r="D810" s="62">
        <v>368</v>
      </c>
      <c r="E810" s="62">
        <v>368</v>
      </c>
      <c r="F810" s="62" t="s">
        <v>0</v>
      </c>
      <c r="G810" s="63">
        <f t="shared" si="33"/>
        <v>0</v>
      </c>
      <c r="H810" s="63">
        <f t="shared" si="33"/>
        <v>0</v>
      </c>
    </row>
    <row r="811" spans="1:8" x14ac:dyDescent="0.25">
      <c r="A811" s="61" t="s">
        <v>810</v>
      </c>
      <c r="B811" s="61" t="s">
        <v>172</v>
      </c>
      <c r="C811" s="62">
        <v>698</v>
      </c>
      <c r="D811" s="62">
        <v>737</v>
      </c>
      <c r="E811" s="62">
        <v>737</v>
      </c>
      <c r="F811" s="62">
        <v>599.55999999999995</v>
      </c>
      <c r="G811" s="63">
        <f t="shared" si="33"/>
        <v>745.17297999999994</v>
      </c>
      <c r="H811" s="63">
        <f t="shared" si="33"/>
        <v>767.52816939999991</v>
      </c>
    </row>
    <row r="812" spans="1:8" x14ac:dyDescent="0.25">
      <c r="A812" s="61" t="s">
        <v>811</v>
      </c>
      <c r="B812" s="61" t="s">
        <v>172</v>
      </c>
      <c r="C812" s="62">
        <v>14</v>
      </c>
      <c r="D812" s="62">
        <v>382</v>
      </c>
      <c r="E812" s="62">
        <v>382</v>
      </c>
      <c r="F812" s="62" t="s">
        <v>0</v>
      </c>
      <c r="G812" s="63">
        <f>G798*1.45%</f>
        <v>0</v>
      </c>
      <c r="H812" s="63">
        <f>H798*1.45%</f>
        <v>0</v>
      </c>
    </row>
    <row r="813" spans="1:8" x14ac:dyDescent="0.25">
      <c r="A813" s="61" t="s">
        <v>812</v>
      </c>
      <c r="B813" s="61" t="s">
        <v>172</v>
      </c>
      <c r="C813" s="62" t="s">
        <v>0</v>
      </c>
      <c r="D813" s="62">
        <v>644</v>
      </c>
      <c r="E813" s="62">
        <v>644</v>
      </c>
      <c r="F813" s="62" t="s">
        <v>0</v>
      </c>
      <c r="G813" s="63">
        <v>0</v>
      </c>
      <c r="H813" s="63">
        <v>1</v>
      </c>
    </row>
    <row r="814" spans="1:8" x14ac:dyDescent="0.25">
      <c r="A814" s="61" t="s">
        <v>813</v>
      </c>
      <c r="B814" s="61" t="s">
        <v>172</v>
      </c>
      <c r="C814" s="62">
        <v>790</v>
      </c>
      <c r="D814" s="62">
        <v>967</v>
      </c>
      <c r="E814" s="62">
        <v>967</v>
      </c>
      <c r="F814" s="62" t="s">
        <v>0</v>
      </c>
      <c r="G814" s="63">
        <f>(G795+G796)*1.45%</f>
        <v>0</v>
      </c>
      <c r="H814" s="63">
        <f>(H795+H796)*1.45%</f>
        <v>0</v>
      </c>
    </row>
    <row r="815" spans="1:8" x14ac:dyDescent="0.25">
      <c r="A815" s="61" t="s">
        <v>814</v>
      </c>
      <c r="B815" s="61" t="s">
        <v>218</v>
      </c>
      <c r="C815" s="62">
        <v>825</v>
      </c>
      <c r="D815" s="62">
        <v>4947</v>
      </c>
      <c r="E815" s="62">
        <v>4947</v>
      </c>
      <c r="F815" s="62">
        <v>4937.63</v>
      </c>
      <c r="G815" s="63">
        <v>4947</v>
      </c>
      <c r="H815" s="63">
        <v>4947</v>
      </c>
    </row>
    <row r="816" spans="1:8" x14ac:dyDescent="0.25">
      <c r="A816" s="61" t="s">
        <v>815</v>
      </c>
      <c r="B816" s="61" t="s">
        <v>218</v>
      </c>
      <c r="C816" s="62">
        <v>13638</v>
      </c>
      <c r="D816" s="62">
        <v>4947</v>
      </c>
      <c r="E816" s="62">
        <v>4947</v>
      </c>
      <c r="F816" s="62">
        <v>13526.87</v>
      </c>
      <c r="G816" s="63">
        <v>4947</v>
      </c>
      <c r="H816" s="63">
        <v>4947</v>
      </c>
    </row>
    <row r="817" spans="1:8" x14ac:dyDescent="0.25">
      <c r="A817" s="61" t="s">
        <v>816</v>
      </c>
      <c r="B817" s="61" t="s">
        <v>218</v>
      </c>
      <c r="C817" s="62">
        <v>371</v>
      </c>
      <c r="D817" s="62">
        <v>22</v>
      </c>
      <c r="E817" s="62">
        <v>22</v>
      </c>
      <c r="F817" s="62">
        <v>370.37</v>
      </c>
      <c r="G817" s="63">
        <v>22</v>
      </c>
      <c r="H817" s="63">
        <v>22</v>
      </c>
    </row>
    <row r="818" spans="1:8" x14ac:dyDescent="0.25">
      <c r="A818" s="61" t="s">
        <v>817</v>
      </c>
      <c r="B818" s="61" t="s">
        <v>218</v>
      </c>
      <c r="C818" s="62">
        <v>231</v>
      </c>
      <c r="D818" s="62">
        <v>234</v>
      </c>
      <c r="E818" s="62">
        <v>234</v>
      </c>
      <c r="F818" s="62">
        <v>262.63</v>
      </c>
      <c r="G818" s="63">
        <v>234</v>
      </c>
      <c r="H818" s="63">
        <v>234</v>
      </c>
    </row>
    <row r="819" spans="1:8" x14ac:dyDescent="0.25">
      <c r="A819" s="61" t="s">
        <v>818</v>
      </c>
      <c r="B819" s="61" t="s">
        <v>218</v>
      </c>
      <c r="C819" s="62">
        <v>4574</v>
      </c>
      <c r="D819" s="62">
        <v>291</v>
      </c>
      <c r="E819" s="62">
        <v>291</v>
      </c>
      <c r="F819" s="62">
        <v>4567.26</v>
      </c>
      <c r="G819" s="63">
        <v>291</v>
      </c>
      <c r="H819" s="63">
        <v>291</v>
      </c>
    </row>
    <row r="820" spans="1:8" x14ac:dyDescent="0.25">
      <c r="A820" s="61" t="s">
        <v>819</v>
      </c>
      <c r="B820" s="61" t="s">
        <v>218</v>
      </c>
      <c r="C820" s="62">
        <v>58</v>
      </c>
      <c r="D820" s="62">
        <v>58</v>
      </c>
      <c r="E820" s="62">
        <v>58</v>
      </c>
      <c r="F820" s="62" t="s">
        <v>0</v>
      </c>
      <c r="G820" s="63">
        <v>0</v>
      </c>
      <c r="H820" s="63">
        <v>0</v>
      </c>
    </row>
    <row r="821" spans="1:8" x14ac:dyDescent="0.25">
      <c r="A821" s="61" t="s">
        <v>820</v>
      </c>
      <c r="B821" s="61" t="s">
        <v>218</v>
      </c>
      <c r="C821" s="62">
        <v>4533</v>
      </c>
      <c r="D821" s="62">
        <v>4947</v>
      </c>
      <c r="E821" s="62">
        <v>4947</v>
      </c>
      <c r="F821" s="62" t="s">
        <v>0</v>
      </c>
      <c r="G821" s="63">
        <v>0</v>
      </c>
      <c r="H821" s="63">
        <v>0</v>
      </c>
    </row>
    <row r="822" spans="1:8" x14ac:dyDescent="0.25">
      <c r="A822" s="61" t="s">
        <v>821</v>
      </c>
      <c r="B822" s="61" t="s">
        <v>218</v>
      </c>
      <c r="C822" s="62">
        <v>470</v>
      </c>
      <c r="D822" s="62">
        <v>470</v>
      </c>
      <c r="E822" s="62">
        <v>470</v>
      </c>
      <c r="F822" s="62">
        <v>468.99</v>
      </c>
      <c r="G822" s="63">
        <v>470</v>
      </c>
      <c r="H822" s="63">
        <v>470</v>
      </c>
    </row>
    <row r="823" spans="1:8" x14ac:dyDescent="0.25">
      <c r="A823" s="61" t="s">
        <v>822</v>
      </c>
      <c r="B823" s="61" t="s">
        <v>218</v>
      </c>
      <c r="C823" s="62">
        <v>2473</v>
      </c>
      <c r="D823" s="62">
        <v>2475</v>
      </c>
      <c r="E823" s="62">
        <v>2475</v>
      </c>
      <c r="F823" s="62">
        <v>4937.63</v>
      </c>
      <c r="G823" s="63">
        <v>2475</v>
      </c>
      <c r="H823" s="63">
        <v>2475</v>
      </c>
    </row>
    <row r="824" spans="1:8" x14ac:dyDescent="0.25">
      <c r="A824" s="61" t="s">
        <v>823</v>
      </c>
      <c r="B824" s="61" t="s">
        <v>218</v>
      </c>
      <c r="C824" s="62">
        <v>4476</v>
      </c>
      <c r="D824" s="62">
        <v>4478</v>
      </c>
      <c r="E824" s="62">
        <v>4478</v>
      </c>
      <c r="F824" s="62">
        <v>4731.2700000000004</v>
      </c>
      <c r="G824" s="63">
        <v>4478</v>
      </c>
      <c r="H824" s="63">
        <v>4478</v>
      </c>
    </row>
    <row r="825" spans="1:8" x14ac:dyDescent="0.25">
      <c r="A825" s="61" t="s">
        <v>824</v>
      </c>
      <c r="B825" s="61" t="s">
        <v>218</v>
      </c>
      <c r="C825" s="62">
        <v>444</v>
      </c>
      <c r="D825" s="62">
        <v>445</v>
      </c>
      <c r="E825" s="62">
        <v>445</v>
      </c>
      <c r="F825" s="62">
        <v>444.4</v>
      </c>
      <c r="G825" s="63">
        <v>445</v>
      </c>
      <c r="H825" s="63">
        <v>445</v>
      </c>
    </row>
    <row r="826" spans="1:8" x14ac:dyDescent="0.25">
      <c r="A826" s="61" t="s">
        <v>825</v>
      </c>
      <c r="B826" s="61" t="s">
        <v>218</v>
      </c>
      <c r="C826" s="62">
        <v>2473</v>
      </c>
      <c r="D826" s="62">
        <v>2475</v>
      </c>
      <c r="E826" s="62">
        <v>2475</v>
      </c>
      <c r="F826" s="62" t="s">
        <v>0</v>
      </c>
      <c r="G826" s="63">
        <v>2475</v>
      </c>
      <c r="H826" s="63">
        <v>2475</v>
      </c>
    </row>
    <row r="827" spans="1:8" x14ac:dyDescent="0.25">
      <c r="A827" s="61" t="s">
        <v>826</v>
      </c>
      <c r="B827" s="61" t="s">
        <v>218</v>
      </c>
      <c r="C827" s="62">
        <v>4486</v>
      </c>
      <c r="D827" s="62">
        <v>4503</v>
      </c>
      <c r="E827" s="62">
        <v>4503</v>
      </c>
      <c r="F827" s="62">
        <v>4493.2299999999996</v>
      </c>
      <c r="G827" s="63">
        <v>4503</v>
      </c>
      <c r="H827" s="63">
        <v>4503</v>
      </c>
    </row>
    <row r="828" spans="1:8" x14ac:dyDescent="0.25">
      <c r="A828" s="61" t="s">
        <v>827</v>
      </c>
      <c r="B828" s="61" t="s">
        <v>218</v>
      </c>
      <c r="C828" s="62" t="s">
        <v>0</v>
      </c>
      <c r="D828" s="62">
        <v>4947</v>
      </c>
      <c r="E828" s="62">
        <v>4947</v>
      </c>
      <c r="F828" s="62" t="s">
        <v>0</v>
      </c>
      <c r="G828" s="63">
        <v>4947</v>
      </c>
      <c r="H828" s="63">
        <v>4947</v>
      </c>
    </row>
    <row r="829" spans="1:8" x14ac:dyDescent="0.25">
      <c r="A829" s="61" t="s">
        <v>828</v>
      </c>
      <c r="B829" s="61" t="s">
        <v>218</v>
      </c>
      <c r="C829" s="62" t="s">
        <v>0</v>
      </c>
      <c r="D829" s="62">
        <v>3464</v>
      </c>
      <c r="E829" s="62">
        <v>3464</v>
      </c>
      <c r="F829" s="62" t="s">
        <v>0</v>
      </c>
      <c r="G829" s="63">
        <v>3464</v>
      </c>
      <c r="H829" s="63">
        <v>3464</v>
      </c>
    </row>
    <row r="830" spans="1:8" x14ac:dyDescent="0.25">
      <c r="A830" s="61" t="s">
        <v>829</v>
      </c>
      <c r="B830" s="61" t="s">
        <v>218</v>
      </c>
      <c r="C830" s="62">
        <v>4945</v>
      </c>
      <c r="D830" s="62">
        <v>5194</v>
      </c>
      <c r="E830" s="62">
        <v>5194</v>
      </c>
      <c r="F830" s="62" t="s">
        <v>0</v>
      </c>
      <c r="G830" s="63">
        <v>5194</v>
      </c>
      <c r="H830" s="63">
        <v>5194</v>
      </c>
    </row>
    <row r="831" spans="1:8" x14ac:dyDescent="0.25">
      <c r="A831" s="61" t="s">
        <v>830</v>
      </c>
      <c r="B831" s="61" t="s">
        <v>249</v>
      </c>
      <c r="C831" s="62">
        <v>99</v>
      </c>
      <c r="D831" s="62">
        <v>391</v>
      </c>
      <c r="E831" s="62">
        <v>391</v>
      </c>
      <c r="F831" s="62">
        <v>336.38</v>
      </c>
      <c r="G831" s="63">
        <f>G782*0.65%</f>
        <v>507.00000000000006</v>
      </c>
      <c r="H831" s="63">
        <f>H782*0.65%</f>
        <v>522.21</v>
      </c>
    </row>
    <row r="832" spans="1:8" x14ac:dyDescent="0.25">
      <c r="A832" s="61" t="s">
        <v>831</v>
      </c>
      <c r="B832" s="61" t="s">
        <v>249</v>
      </c>
      <c r="C832" s="62">
        <v>803</v>
      </c>
      <c r="D832" s="62">
        <v>69</v>
      </c>
      <c r="E832" s="62">
        <v>69</v>
      </c>
      <c r="F832" s="62">
        <v>727.92</v>
      </c>
      <c r="G832" s="63">
        <f>(G783+G797)*0.65%</f>
        <v>813.31588000000011</v>
      </c>
      <c r="H832" s="63">
        <f>(H783+H797)*0.65%</f>
        <v>833.49387160000015</v>
      </c>
    </row>
    <row r="833" spans="1:8" x14ac:dyDescent="0.25">
      <c r="A833" s="61" t="s">
        <v>832</v>
      </c>
      <c r="B833" s="61" t="s">
        <v>249</v>
      </c>
      <c r="C833" s="62">
        <v>34</v>
      </c>
      <c r="D833" s="62">
        <v>33</v>
      </c>
      <c r="E833" s="62">
        <v>33</v>
      </c>
      <c r="F833" s="62">
        <v>30.8</v>
      </c>
      <c r="G833" s="63">
        <f t="shared" ref="G833:H835" si="34">G784*0.65%</f>
        <v>26.192400000000003</v>
      </c>
      <c r="H833" s="63">
        <f t="shared" si="34"/>
        <v>26.978172000000004</v>
      </c>
    </row>
    <row r="834" spans="1:8" x14ac:dyDescent="0.25">
      <c r="A834" s="61" t="s">
        <v>833</v>
      </c>
      <c r="B834" s="61" t="s">
        <v>249</v>
      </c>
      <c r="C834" s="62">
        <v>292</v>
      </c>
      <c r="D834" s="62">
        <v>292</v>
      </c>
      <c r="E834" s="62">
        <v>292</v>
      </c>
      <c r="F834" s="62">
        <v>340.89</v>
      </c>
      <c r="G834" s="63">
        <f t="shared" si="34"/>
        <v>373.41161000000005</v>
      </c>
      <c r="H834" s="63">
        <f t="shared" si="34"/>
        <v>383.99159500000002</v>
      </c>
    </row>
    <row r="835" spans="1:8" x14ac:dyDescent="0.25">
      <c r="A835" s="61" t="s">
        <v>834</v>
      </c>
      <c r="B835" s="61" t="s">
        <v>249</v>
      </c>
      <c r="C835" s="62">
        <v>414</v>
      </c>
      <c r="D835" s="62">
        <v>138</v>
      </c>
      <c r="E835" s="62">
        <v>138</v>
      </c>
      <c r="F835" s="62">
        <v>379.17</v>
      </c>
      <c r="G835" s="63">
        <f t="shared" si="34"/>
        <v>323.03960000000006</v>
      </c>
      <c r="H835" s="63">
        <f t="shared" si="34"/>
        <v>332.73078800000002</v>
      </c>
    </row>
    <row r="836" spans="1:8" x14ac:dyDescent="0.25">
      <c r="A836" s="61" t="s">
        <v>835</v>
      </c>
      <c r="B836" s="61" t="s">
        <v>249</v>
      </c>
      <c r="C836" s="62">
        <v>73</v>
      </c>
      <c r="D836" s="62">
        <v>73</v>
      </c>
      <c r="E836" s="62">
        <v>73</v>
      </c>
      <c r="F836" s="62" t="s">
        <v>0</v>
      </c>
      <c r="G836" s="63">
        <v>0</v>
      </c>
      <c r="H836" s="63">
        <v>0</v>
      </c>
    </row>
    <row r="837" spans="1:8" x14ac:dyDescent="0.25">
      <c r="A837" s="61" t="s">
        <v>836</v>
      </c>
      <c r="B837" s="61" t="s">
        <v>249</v>
      </c>
      <c r="C837" s="62">
        <v>305</v>
      </c>
      <c r="D837" s="62">
        <v>332</v>
      </c>
      <c r="E837" s="62">
        <v>332</v>
      </c>
      <c r="F837" s="62" t="s">
        <v>0</v>
      </c>
      <c r="G837" s="63">
        <v>0</v>
      </c>
      <c r="H837" s="63">
        <v>0</v>
      </c>
    </row>
    <row r="838" spans="1:8" x14ac:dyDescent="0.25">
      <c r="A838" s="61" t="s">
        <v>837</v>
      </c>
      <c r="B838" s="61" t="s">
        <v>249</v>
      </c>
      <c r="C838" s="62">
        <v>33</v>
      </c>
      <c r="D838" s="62">
        <v>33</v>
      </c>
      <c r="E838" s="62">
        <v>33</v>
      </c>
      <c r="F838" s="62">
        <v>30.58</v>
      </c>
      <c r="G838" s="63">
        <f t="shared" ref="G838:H843" si="35">G789*0.65%</f>
        <v>33.846020000000003</v>
      </c>
      <c r="H838" s="63">
        <f t="shared" si="35"/>
        <v>34.861400600000003</v>
      </c>
    </row>
    <row r="839" spans="1:8" x14ac:dyDescent="0.25">
      <c r="A839" s="61" t="s">
        <v>838</v>
      </c>
      <c r="B839" s="61" t="s">
        <v>249</v>
      </c>
      <c r="C839" s="62">
        <v>163</v>
      </c>
      <c r="D839" s="62">
        <v>163</v>
      </c>
      <c r="E839" s="62">
        <v>163</v>
      </c>
      <c r="F839" s="62">
        <v>298.24</v>
      </c>
      <c r="G839" s="63">
        <f t="shared" si="35"/>
        <v>330.44544000000002</v>
      </c>
      <c r="H839" s="63">
        <f t="shared" si="35"/>
        <v>339.80804000000006</v>
      </c>
    </row>
    <row r="840" spans="1:8" x14ac:dyDescent="0.25">
      <c r="A840" s="61" t="s">
        <v>839</v>
      </c>
      <c r="B840" s="61" t="s">
        <v>249</v>
      </c>
      <c r="C840" s="62">
        <v>318</v>
      </c>
      <c r="D840" s="62">
        <v>314</v>
      </c>
      <c r="E840" s="62">
        <v>314</v>
      </c>
      <c r="F840" s="62">
        <v>544.9</v>
      </c>
      <c r="G840" s="63">
        <f t="shared" si="35"/>
        <v>615.10670000000005</v>
      </c>
      <c r="H840" s="63">
        <f t="shared" si="35"/>
        <v>633.55990100000008</v>
      </c>
    </row>
    <row r="841" spans="1:8" x14ac:dyDescent="0.25">
      <c r="A841" s="61" t="s">
        <v>840</v>
      </c>
      <c r="B841" s="61" t="s">
        <v>249</v>
      </c>
      <c r="C841" s="62">
        <v>33</v>
      </c>
      <c r="D841" s="62">
        <v>32</v>
      </c>
      <c r="E841" s="62">
        <v>32</v>
      </c>
      <c r="F841" s="62">
        <v>29.81</v>
      </c>
      <c r="G841" s="63">
        <f t="shared" si="35"/>
        <v>33.037224999999999</v>
      </c>
      <c r="H841" s="63">
        <f t="shared" si="35"/>
        <v>34.028341750000003</v>
      </c>
    </row>
    <row r="842" spans="1:8" x14ac:dyDescent="0.25">
      <c r="A842" s="61" t="s">
        <v>841</v>
      </c>
      <c r="B842" s="61" t="s">
        <v>249</v>
      </c>
      <c r="C842" s="62">
        <v>163</v>
      </c>
      <c r="D842" s="62">
        <v>163</v>
      </c>
      <c r="E842" s="62">
        <v>163</v>
      </c>
      <c r="F842" s="62" t="s">
        <v>0</v>
      </c>
      <c r="G842" s="63">
        <f t="shared" si="35"/>
        <v>0</v>
      </c>
      <c r="H842" s="63">
        <f t="shared" si="35"/>
        <v>0</v>
      </c>
    </row>
    <row r="843" spans="1:8" x14ac:dyDescent="0.25">
      <c r="A843" s="61" t="s">
        <v>842</v>
      </c>
      <c r="B843" s="61" t="s">
        <v>249</v>
      </c>
      <c r="C843" s="62">
        <v>329</v>
      </c>
      <c r="D843" s="62">
        <v>325</v>
      </c>
      <c r="E843" s="62">
        <v>325</v>
      </c>
      <c r="F843" s="62">
        <v>301.51</v>
      </c>
      <c r="G843" s="63">
        <f t="shared" si="35"/>
        <v>334.04306000000003</v>
      </c>
      <c r="H843" s="63">
        <f t="shared" si="35"/>
        <v>344.06435180000005</v>
      </c>
    </row>
    <row r="844" spans="1:8" x14ac:dyDescent="0.25">
      <c r="A844" s="61" t="s">
        <v>843</v>
      </c>
      <c r="B844" s="61" t="s">
        <v>249</v>
      </c>
      <c r="C844" s="62" t="s">
        <v>0</v>
      </c>
      <c r="D844" s="62">
        <v>164</v>
      </c>
      <c r="E844" s="62">
        <v>164</v>
      </c>
      <c r="F844" s="62" t="s">
        <v>0</v>
      </c>
      <c r="G844" s="63">
        <f>G798*0.65%</f>
        <v>0</v>
      </c>
      <c r="H844" s="63">
        <f>H798*0.65%</f>
        <v>0</v>
      </c>
    </row>
    <row r="845" spans="1:8" x14ac:dyDescent="0.25">
      <c r="A845" s="61" t="s">
        <v>844</v>
      </c>
      <c r="B845" s="61" t="s">
        <v>249</v>
      </c>
      <c r="C845" s="62" t="s">
        <v>0</v>
      </c>
      <c r="D845" s="62">
        <v>284</v>
      </c>
      <c r="E845" s="62">
        <v>284</v>
      </c>
      <c r="F845" s="62" t="s">
        <v>0</v>
      </c>
      <c r="G845" s="63">
        <v>0</v>
      </c>
      <c r="H845" s="63">
        <v>1</v>
      </c>
    </row>
    <row r="846" spans="1:8" x14ac:dyDescent="0.25">
      <c r="A846" s="61" t="s">
        <v>845</v>
      </c>
      <c r="B846" s="61" t="s">
        <v>249</v>
      </c>
      <c r="C846" s="62">
        <v>394</v>
      </c>
      <c r="D846" s="62">
        <v>417</v>
      </c>
      <c r="E846" s="62">
        <v>417</v>
      </c>
      <c r="F846" s="62" t="s">
        <v>0</v>
      </c>
      <c r="G846" s="63">
        <f>(G795+G796)*0.65%</f>
        <v>0</v>
      </c>
      <c r="H846" s="63">
        <f>(H795+H796)*0.65%</f>
        <v>0</v>
      </c>
    </row>
    <row r="847" spans="1:8" x14ac:dyDescent="0.25">
      <c r="A847" s="61" t="s">
        <v>846</v>
      </c>
      <c r="B847" s="61" t="s">
        <v>292</v>
      </c>
      <c r="C847" s="62">
        <v>955</v>
      </c>
      <c r="D847" s="62">
        <v>3922</v>
      </c>
      <c r="E847" s="62">
        <v>3922</v>
      </c>
      <c r="F847" s="62">
        <v>3646.06</v>
      </c>
      <c r="G847" s="63">
        <v>3922</v>
      </c>
      <c r="H847" s="62">
        <f>G847+(G847*3%)</f>
        <v>4039.66</v>
      </c>
    </row>
    <row r="848" spans="1:8" x14ac:dyDescent="0.25">
      <c r="A848" s="61" t="s">
        <v>847</v>
      </c>
      <c r="B848" s="61" t="s">
        <v>292</v>
      </c>
      <c r="C848" s="62">
        <v>9807</v>
      </c>
      <c r="D848" s="62">
        <v>1670</v>
      </c>
      <c r="E848" s="62">
        <v>1670</v>
      </c>
      <c r="F848" s="62">
        <v>8205.34</v>
      </c>
      <c r="G848" s="63">
        <v>1670</v>
      </c>
      <c r="H848" s="62">
        <f t="shared" ref="H848:H862" si="36">G848+(G848*3%)</f>
        <v>1720.1</v>
      </c>
    </row>
    <row r="849" spans="1:8" x14ac:dyDescent="0.25">
      <c r="A849" s="61" t="s">
        <v>848</v>
      </c>
      <c r="B849" s="61" t="s">
        <v>292</v>
      </c>
      <c r="C849" s="62">
        <v>305</v>
      </c>
      <c r="D849" s="62">
        <v>300</v>
      </c>
      <c r="E849" s="62">
        <v>300</v>
      </c>
      <c r="F849" s="62">
        <v>281.49</v>
      </c>
      <c r="G849" s="63">
        <v>300</v>
      </c>
      <c r="H849" s="62">
        <f t="shared" si="36"/>
        <v>309</v>
      </c>
    </row>
    <row r="850" spans="1:8" x14ac:dyDescent="0.25">
      <c r="A850" s="61" t="s">
        <v>849</v>
      </c>
      <c r="B850" s="61" t="s">
        <v>292</v>
      </c>
      <c r="C850" s="62">
        <v>3026</v>
      </c>
      <c r="D850" s="62">
        <v>2912</v>
      </c>
      <c r="E850" s="62">
        <v>2912</v>
      </c>
      <c r="F850" s="62">
        <v>3476.99</v>
      </c>
      <c r="G850" s="63">
        <v>2912</v>
      </c>
      <c r="H850" s="62">
        <f t="shared" si="36"/>
        <v>2999.36</v>
      </c>
    </row>
    <row r="851" spans="1:8" x14ac:dyDescent="0.25">
      <c r="A851" s="61" t="s">
        <v>850</v>
      </c>
      <c r="B851" s="61" t="s">
        <v>292</v>
      </c>
      <c r="C851" s="62">
        <v>3766</v>
      </c>
      <c r="D851" s="62">
        <v>1685</v>
      </c>
      <c r="E851" s="62">
        <v>1685</v>
      </c>
      <c r="F851" s="62">
        <v>3472.36</v>
      </c>
      <c r="G851" s="63">
        <v>1685</v>
      </c>
      <c r="H851" s="62">
        <f t="shared" si="36"/>
        <v>1735.55</v>
      </c>
    </row>
    <row r="852" spans="1:8" x14ac:dyDescent="0.25">
      <c r="A852" s="61" t="s">
        <v>851</v>
      </c>
      <c r="B852" s="61" t="s">
        <v>292</v>
      </c>
      <c r="C852" s="62">
        <v>756</v>
      </c>
      <c r="D852" s="62">
        <v>728</v>
      </c>
      <c r="E852" s="62">
        <v>728</v>
      </c>
      <c r="F852" s="62" t="s">
        <v>0</v>
      </c>
      <c r="G852" s="63">
        <v>0</v>
      </c>
      <c r="H852" s="62">
        <f t="shared" si="36"/>
        <v>0</v>
      </c>
    </row>
    <row r="853" spans="1:8" x14ac:dyDescent="0.25">
      <c r="A853" s="61" t="s">
        <v>852</v>
      </c>
      <c r="B853" s="61" t="s">
        <v>292</v>
      </c>
      <c r="C853" s="62">
        <v>3152</v>
      </c>
      <c r="D853" s="62">
        <v>3358</v>
      </c>
      <c r="E853" s="62">
        <v>3358</v>
      </c>
      <c r="F853" s="62" t="s">
        <v>0</v>
      </c>
      <c r="G853" s="63">
        <v>0</v>
      </c>
      <c r="H853" s="62">
        <f t="shared" si="36"/>
        <v>0</v>
      </c>
    </row>
    <row r="854" spans="1:8" x14ac:dyDescent="0.25">
      <c r="A854" s="61" t="s">
        <v>853</v>
      </c>
      <c r="B854" s="61" t="s">
        <v>292</v>
      </c>
      <c r="C854" s="62">
        <v>345</v>
      </c>
      <c r="D854" s="62">
        <v>333</v>
      </c>
      <c r="E854" s="62">
        <v>333</v>
      </c>
      <c r="F854" s="62">
        <v>315.58999999999997</v>
      </c>
      <c r="G854" s="63">
        <v>333</v>
      </c>
      <c r="H854" s="62">
        <f t="shared" si="36"/>
        <v>342.99</v>
      </c>
    </row>
    <row r="855" spans="1:8" x14ac:dyDescent="0.25">
      <c r="A855" s="61" t="s">
        <v>854</v>
      </c>
      <c r="B855" s="61" t="s">
        <v>292</v>
      </c>
      <c r="C855" s="62">
        <v>1151</v>
      </c>
      <c r="D855" s="62">
        <v>1342</v>
      </c>
      <c r="E855" s="62">
        <v>1342</v>
      </c>
      <c r="F855" s="62">
        <v>2260.9899999999998</v>
      </c>
      <c r="G855" s="63">
        <v>1342</v>
      </c>
      <c r="H855" s="62">
        <f t="shared" si="36"/>
        <v>1382.26</v>
      </c>
    </row>
    <row r="856" spans="1:8" x14ac:dyDescent="0.25">
      <c r="A856" s="61" t="s">
        <v>855</v>
      </c>
      <c r="B856" s="61" t="s">
        <v>292</v>
      </c>
      <c r="C856" s="62">
        <v>3284</v>
      </c>
      <c r="D856" s="62">
        <v>3175</v>
      </c>
      <c r="E856" s="62">
        <v>3175</v>
      </c>
      <c r="F856" s="62">
        <v>5329.89</v>
      </c>
      <c r="G856" s="63">
        <v>3175</v>
      </c>
      <c r="H856" s="62">
        <f t="shared" si="36"/>
        <v>3270.25</v>
      </c>
    </row>
    <row r="857" spans="1:8" x14ac:dyDescent="0.25">
      <c r="A857" s="61" t="s">
        <v>856</v>
      </c>
      <c r="B857" s="61" t="s">
        <v>292</v>
      </c>
      <c r="C857" s="62">
        <v>259</v>
      </c>
      <c r="D857" s="62">
        <v>275</v>
      </c>
      <c r="E857" s="62">
        <v>275</v>
      </c>
      <c r="F857" s="62">
        <v>243.87</v>
      </c>
      <c r="G857" s="63">
        <v>275</v>
      </c>
      <c r="H857" s="62">
        <f t="shared" si="36"/>
        <v>283.25</v>
      </c>
    </row>
    <row r="858" spans="1:8" x14ac:dyDescent="0.25">
      <c r="A858" s="61" t="s">
        <v>857</v>
      </c>
      <c r="B858" s="61" t="s">
        <v>292</v>
      </c>
      <c r="C858" s="62">
        <v>1151</v>
      </c>
      <c r="D858" s="62">
        <v>1342</v>
      </c>
      <c r="E858" s="62">
        <v>1342</v>
      </c>
      <c r="F858" s="62" t="s">
        <v>0</v>
      </c>
      <c r="G858" s="63">
        <v>1342</v>
      </c>
      <c r="H858" s="62">
        <f t="shared" si="36"/>
        <v>1382.26</v>
      </c>
    </row>
    <row r="859" spans="1:8" x14ac:dyDescent="0.25">
      <c r="A859" s="61" t="s">
        <v>858</v>
      </c>
      <c r="B859" s="61" t="s">
        <v>292</v>
      </c>
      <c r="C859" s="62">
        <v>2622</v>
      </c>
      <c r="D859" s="62">
        <v>2779</v>
      </c>
      <c r="E859" s="62">
        <v>2779</v>
      </c>
      <c r="F859" s="62">
        <v>2465.52</v>
      </c>
      <c r="G859" s="63">
        <v>2779</v>
      </c>
      <c r="H859" s="62">
        <f t="shared" si="36"/>
        <v>2862.37</v>
      </c>
    </row>
    <row r="860" spans="1:8" x14ac:dyDescent="0.25">
      <c r="A860" s="61" t="s">
        <v>859</v>
      </c>
      <c r="B860" s="61" t="s">
        <v>292</v>
      </c>
      <c r="C860" s="62" t="s">
        <v>0</v>
      </c>
      <c r="D860" s="62">
        <v>1972</v>
      </c>
      <c r="E860" s="62">
        <v>1972</v>
      </c>
      <c r="F860" s="62" t="s">
        <v>0</v>
      </c>
      <c r="G860" s="63">
        <v>1972</v>
      </c>
      <c r="H860" s="62">
        <f t="shared" si="36"/>
        <v>2031.16</v>
      </c>
    </row>
    <row r="861" spans="1:8" x14ac:dyDescent="0.25">
      <c r="A861" s="61" t="s">
        <v>860</v>
      </c>
      <c r="B861" s="61" t="s">
        <v>292</v>
      </c>
      <c r="C861" s="62" t="s">
        <v>0</v>
      </c>
      <c r="D861" s="62">
        <v>444</v>
      </c>
      <c r="E861" s="62">
        <v>444</v>
      </c>
      <c r="F861" s="62" t="s">
        <v>0</v>
      </c>
      <c r="G861" s="63">
        <v>444</v>
      </c>
      <c r="H861" s="62">
        <f t="shared" si="36"/>
        <v>457.32</v>
      </c>
    </row>
    <row r="862" spans="1:8" x14ac:dyDescent="0.25">
      <c r="A862" s="61" t="s">
        <v>861</v>
      </c>
      <c r="B862" s="61" t="s">
        <v>292</v>
      </c>
      <c r="C862" s="62">
        <v>5391</v>
      </c>
      <c r="D862" s="62">
        <v>3841</v>
      </c>
      <c r="E862" s="62">
        <v>3841</v>
      </c>
      <c r="F862" s="62" t="s">
        <v>0</v>
      </c>
      <c r="G862" s="63">
        <v>3841</v>
      </c>
      <c r="H862" s="62">
        <f t="shared" si="36"/>
        <v>3956.23</v>
      </c>
    </row>
    <row r="863" spans="1:8" x14ac:dyDescent="0.25">
      <c r="A863" s="61" t="s">
        <v>862</v>
      </c>
      <c r="B863" s="61" t="s">
        <v>331</v>
      </c>
      <c r="C863" s="62">
        <v>509</v>
      </c>
      <c r="D863" s="62">
        <v>1907</v>
      </c>
      <c r="E863" s="62">
        <v>1907</v>
      </c>
      <c r="F863" s="62">
        <v>1431.54</v>
      </c>
      <c r="G863" s="63">
        <f>G782*0.75%</f>
        <v>585</v>
      </c>
      <c r="H863" s="63">
        <f>H782*0.75%</f>
        <v>602.54999999999995</v>
      </c>
    </row>
    <row r="864" spans="1:8" x14ac:dyDescent="0.25">
      <c r="A864" s="61" t="s">
        <v>863</v>
      </c>
      <c r="B864" s="61" t="s">
        <v>331</v>
      </c>
      <c r="C864" s="62">
        <v>2451</v>
      </c>
      <c r="D864" s="62">
        <v>7164</v>
      </c>
      <c r="E864" s="62">
        <v>7164</v>
      </c>
      <c r="F864" s="62">
        <v>2807.25</v>
      </c>
      <c r="G864" s="63">
        <f>(G783+G797)*0.75%</f>
        <v>938.44140000000004</v>
      </c>
      <c r="H864" s="63">
        <f>(H783+H797)*0.75%</f>
        <v>961.72369800000001</v>
      </c>
    </row>
    <row r="865" spans="1:10" x14ac:dyDescent="0.25">
      <c r="A865" s="61" t="s">
        <v>864</v>
      </c>
      <c r="B865" s="61" t="s">
        <v>331</v>
      </c>
      <c r="C865" s="62">
        <v>184</v>
      </c>
      <c r="D865" s="62">
        <v>104</v>
      </c>
      <c r="E865" s="62">
        <v>104</v>
      </c>
      <c r="F865" s="62">
        <v>166.76</v>
      </c>
      <c r="G865" s="63">
        <f t="shared" ref="G865:H867" si="37">G784*0.75%</f>
        <v>30.221999999999998</v>
      </c>
      <c r="H865" s="63">
        <f t="shared" si="37"/>
        <v>31.12866</v>
      </c>
    </row>
    <row r="866" spans="1:10" x14ac:dyDescent="0.25">
      <c r="A866" s="61" t="s">
        <v>865</v>
      </c>
      <c r="B866" s="61" t="s">
        <v>331</v>
      </c>
      <c r="C866" s="62">
        <v>1307</v>
      </c>
      <c r="D866" s="62">
        <v>1395</v>
      </c>
      <c r="E866" s="62">
        <v>1395</v>
      </c>
      <c r="F866" s="62">
        <v>1571.02</v>
      </c>
      <c r="G866" s="63">
        <f t="shared" si="37"/>
        <v>430.85955000000001</v>
      </c>
      <c r="H866" s="63">
        <f t="shared" si="37"/>
        <v>443.06722499999995</v>
      </c>
    </row>
    <row r="867" spans="1:10" x14ac:dyDescent="0.25">
      <c r="A867" s="61" t="s">
        <v>866</v>
      </c>
      <c r="B867" s="61" t="s">
        <v>331</v>
      </c>
      <c r="C867" s="62">
        <v>2262</v>
      </c>
      <c r="D867" s="62">
        <v>1726</v>
      </c>
      <c r="E867" s="62">
        <v>1726</v>
      </c>
      <c r="F867" s="62">
        <v>2056.34</v>
      </c>
      <c r="G867" s="63">
        <f t="shared" si="37"/>
        <v>372.738</v>
      </c>
      <c r="H867" s="63">
        <f t="shared" si="37"/>
        <v>383.92014</v>
      </c>
    </row>
    <row r="868" spans="1:10" x14ac:dyDescent="0.25">
      <c r="A868" s="61" t="s">
        <v>867</v>
      </c>
      <c r="B868" s="61" t="s">
        <v>331</v>
      </c>
      <c r="C868" s="62">
        <v>327</v>
      </c>
      <c r="D868" s="62">
        <v>361</v>
      </c>
      <c r="E868" s="62">
        <v>361</v>
      </c>
      <c r="F868" s="62" t="s">
        <v>0</v>
      </c>
      <c r="G868" s="63">
        <v>0</v>
      </c>
      <c r="H868" s="63">
        <v>0</v>
      </c>
    </row>
    <row r="869" spans="1:10" x14ac:dyDescent="0.25">
      <c r="A869" s="61" t="s">
        <v>868</v>
      </c>
      <c r="B869" s="61" t="s">
        <v>331</v>
      </c>
      <c r="C869" s="62">
        <v>1414</v>
      </c>
      <c r="D869" s="62">
        <v>1600</v>
      </c>
      <c r="E869" s="62">
        <v>1600</v>
      </c>
      <c r="F869" s="62" t="s">
        <v>0</v>
      </c>
      <c r="G869" s="63">
        <v>0</v>
      </c>
      <c r="H869" s="63">
        <v>0</v>
      </c>
    </row>
    <row r="870" spans="1:10" x14ac:dyDescent="0.25">
      <c r="A870" s="61" t="s">
        <v>869</v>
      </c>
      <c r="B870" s="61" t="s">
        <v>331</v>
      </c>
      <c r="C870" s="62">
        <v>154</v>
      </c>
      <c r="D870" s="62">
        <v>69</v>
      </c>
      <c r="E870" s="62">
        <v>69</v>
      </c>
      <c r="F870" s="62">
        <v>141.71</v>
      </c>
      <c r="G870" s="63">
        <f t="shared" ref="G870:H875" si="38">G789*0.75%</f>
        <v>39.053100000000001</v>
      </c>
      <c r="H870" s="63">
        <f t="shared" si="38"/>
        <v>40.224693000000002</v>
      </c>
    </row>
    <row r="871" spans="1:10" x14ac:dyDescent="0.25">
      <c r="A871" s="61" t="s">
        <v>870</v>
      </c>
      <c r="B871" s="61" t="s">
        <v>331</v>
      </c>
      <c r="C871" s="62">
        <v>1190</v>
      </c>
      <c r="D871" s="62">
        <v>1020</v>
      </c>
      <c r="E871" s="62">
        <v>1020</v>
      </c>
      <c r="F871" s="62">
        <v>2049.1799999999998</v>
      </c>
      <c r="G871" s="63">
        <f t="shared" si="38"/>
        <v>381.28320000000002</v>
      </c>
      <c r="H871" s="63">
        <f t="shared" si="38"/>
        <v>392.08620000000002</v>
      </c>
    </row>
    <row r="872" spans="1:10" x14ac:dyDescent="0.25">
      <c r="A872" s="61" t="s">
        <v>871</v>
      </c>
      <c r="B872" s="61" t="s">
        <v>331</v>
      </c>
      <c r="C872" s="62">
        <v>1469</v>
      </c>
      <c r="D872" s="62">
        <v>661</v>
      </c>
      <c r="E872" s="62">
        <v>661</v>
      </c>
      <c r="F872" s="62">
        <v>2779.74</v>
      </c>
      <c r="G872" s="63">
        <f t="shared" si="38"/>
        <v>709.73850000000004</v>
      </c>
      <c r="H872" s="63">
        <f t="shared" si="38"/>
        <v>731.03065500000002</v>
      </c>
    </row>
    <row r="873" spans="1:10" x14ac:dyDescent="0.25">
      <c r="A873" s="61" t="s">
        <v>872</v>
      </c>
      <c r="B873" s="61" t="s">
        <v>331</v>
      </c>
      <c r="C873" s="62">
        <v>214</v>
      </c>
      <c r="D873" s="62">
        <v>112</v>
      </c>
      <c r="E873" s="62">
        <v>112</v>
      </c>
      <c r="F873" s="62">
        <v>190.49</v>
      </c>
      <c r="G873" s="63">
        <f t="shared" si="38"/>
        <v>38.119874999999993</v>
      </c>
      <c r="H873" s="63">
        <f t="shared" si="38"/>
        <v>39.263471250000002</v>
      </c>
    </row>
    <row r="874" spans="1:10" x14ac:dyDescent="0.25">
      <c r="A874" s="61" t="s">
        <v>873</v>
      </c>
      <c r="B874" s="61" t="s">
        <v>331</v>
      </c>
      <c r="C874" s="62">
        <v>1190</v>
      </c>
      <c r="D874" s="62">
        <v>1020</v>
      </c>
      <c r="E874" s="62">
        <v>1020</v>
      </c>
      <c r="F874" s="62" t="s">
        <v>0</v>
      </c>
      <c r="G874" s="63">
        <f t="shared" si="38"/>
        <v>0</v>
      </c>
      <c r="H874" s="63">
        <f t="shared" si="38"/>
        <v>0</v>
      </c>
    </row>
    <row r="875" spans="1:10" x14ac:dyDescent="0.25">
      <c r="A875" s="61" t="s">
        <v>874</v>
      </c>
      <c r="B875" s="61" t="s">
        <v>331</v>
      </c>
      <c r="C875" s="62">
        <v>2164</v>
      </c>
      <c r="D875" s="62">
        <v>1132</v>
      </c>
      <c r="E875" s="62">
        <v>1132</v>
      </c>
      <c r="F875" s="62">
        <v>1926.21</v>
      </c>
      <c r="G875" s="63">
        <f t="shared" si="38"/>
        <v>385.43429999999995</v>
      </c>
      <c r="H875" s="63">
        <f t="shared" si="38"/>
        <v>396.99732899999998</v>
      </c>
    </row>
    <row r="876" spans="1:10" x14ac:dyDescent="0.25">
      <c r="A876" s="61" t="s">
        <v>875</v>
      </c>
      <c r="B876" s="61" t="s">
        <v>331</v>
      </c>
      <c r="C876" s="62" t="s">
        <v>0</v>
      </c>
      <c r="D876" s="62">
        <v>531</v>
      </c>
      <c r="E876" s="62">
        <v>531</v>
      </c>
      <c r="F876" s="62" t="s">
        <v>0</v>
      </c>
      <c r="G876" s="63">
        <f>G798*0.75%</f>
        <v>0</v>
      </c>
      <c r="H876" s="63">
        <f>H798*0.75%</f>
        <v>0</v>
      </c>
    </row>
    <row r="877" spans="1:10" x14ac:dyDescent="0.25">
      <c r="A877" s="61" t="s">
        <v>876</v>
      </c>
      <c r="B877" s="61" t="s">
        <v>331</v>
      </c>
      <c r="C877" s="62" t="s">
        <v>0</v>
      </c>
      <c r="D877" s="62">
        <v>3932</v>
      </c>
      <c r="E877" s="62">
        <v>3932</v>
      </c>
      <c r="F877" s="62" t="s">
        <v>0</v>
      </c>
      <c r="G877" s="63">
        <v>0</v>
      </c>
      <c r="H877" s="63">
        <v>1</v>
      </c>
    </row>
    <row r="878" spans="1:10" ht="15.75" thickBot="1" x14ac:dyDescent="0.3">
      <c r="A878" s="61" t="s">
        <v>877</v>
      </c>
      <c r="B878" s="61" t="s">
        <v>331</v>
      </c>
      <c r="C878" s="65">
        <v>1851</v>
      </c>
      <c r="D878" s="65">
        <v>2339</v>
      </c>
      <c r="E878" s="65">
        <v>2339</v>
      </c>
      <c r="F878" s="65" t="s">
        <v>0</v>
      </c>
      <c r="G878" s="66">
        <f>(G795+G796)*0.75%</f>
        <v>0</v>
      </c>
      <c r="H878" s="66">
        <f>(H795+H796)*0.75%</f>
        <v>0</v>
      </c>
    </row>
    <row r="879" spans="1:10" s="3" customFormat="1" x14ac:dyDescent="0.25">
      <c r="B879" s="3" t="s">
        <v>1274</v>
      </c>
      <c r="C879" s="6">
        <f>SUM(C782:C878)</f>
        <v>649513</v>
      </c>
      <c r="D879" s="6">
        <f t="shared" ref="D879:H879" si="39">SUM(D782:D878)</f>
        <v>585497</v>
      </c>
      <c r="E879" s="6">
        <f t="shared" si="39"/>
        <v>585497</v>
      </c>
      <c r="F879" s="6">
        <f t="shared" si="39"/>
        <v>562789.4</v>
      </c>
      <c r="G879" s="8">
        <f t="shared" si="39"/>
        <v>601197.37171500013</v>
      </c>
      <c r="H879" s="8">
        <f t="shared" si="39"/>
        <v>617215.93937075033</v>
      </c>
      <c r="J879"/>
    </row>
    <row r="880" spans="1:10" x14ac:dyDescent="0.25">
      <c r="C880" s="4"/>
      <c r="D880" s="4"/>
      <c r="E880" s="4"/>
      <c r="F880" s="4"/>
    </row>
    <row r="881" spans="1:10" x14ac:dyDescent="0.25">
      <c r="A881" s="61" t="s">
        <v>878</v>
      </c>
      <c r="B881" s="61" t="s">
        <v>390</v>
      </c>
      <c r="C881" s="62">
        <v>350</v>
      </c>
      <c r="D881" s="62">
        <v>350</v>
      </c>
      <c r="E881" s="62">
        <v>350</v>
      </c>
      <c r="F881" s="62">
        <v>344.48</v>
      </c>
      <c r="G881" s="63">
        <v>350</v>
      </c>
      <c r="H881" s="63">
        <v>350</v>
      </c>
    </row>
    <row r="882" spans="1:10" ht="15.75" thickBot="1" x14ac:dyDescent="0.3">
      <c r="A882" s="61" t="s">
        <v>879</v>
      </c>
      <c r="B882" s="61" t="s">
        <v>395</v>
      </c>
      <c r="C882" s="65">
        <v>2745</v>
      </c>
      <c r="D882" s="65">
        <v>3000</v>
      </c>
      <c r="E882" s="65">
        <v>3000</v>
      </c>
      <c r="F882" s="65">
        <v>2646</v>
      </c>
      <c r="G882" s="66">
        <v>2500</v>
      </c>
      <c r="H882" s="66">
        <v>2500</v>
      </c>
    </row>
    <row r="883" spans="1:10" s="3" customFormat="1" x14ac:dyDescent="0.25">
      <c r="B883" s="3" t="s">
        <v>1298</v>
      </c>
      <c r="C883" s="6">
        <f>SUM(C881:C882)</f>
        <v>3095</v>
      </c>
      <c r="D883" s="6">
        <f t="shared" ref="D883:H883" si="40">SUM(D881:D882)</f>
        <v>3350</v>
      </c>
      <c r="E883" s="6">
        <f t="shared" si="40"/>
        <v>3350</v>
      </c>
      <c r="F883" s="6">
        <f t="shared" si="40"/>
        <v>2990.48</v>
      </c>
      <c r="G883" s="8">
        <f t="shared" si="40"/>
        <v>2850</v>
      </c>
      <c r="H883" s="8">
        <f t="shared" si="40"/>
        <v>2850</v>
      </c>
      <c r="J883"/>
    </row>
    <row r="884" spans="1:10" x14ac:dyDescent="0.25">
      <c r="C884" s="4"/>
      <c r="D884" s="4"/>
      <c r="E884" s="4"/>
      <c r="F884" s="4"/>
    </row>
    <row r="885" spans="1:10" x14ac:dyDescent="0.25">
      <c r="A885" s="61" t="s">
        <v>880</v>
      </c>
      <c r="B885" s="61" t="s">
        <v>428</v>
      </c>
      <c r="C885" s="62">
        <v>108</v>
      </c>
      <c r="D885" s="62">
        <v>300</v>
      </c>
      <c r="E885" s="62">
        <v>300</v>
      </c>
      <c r="F885" s="62">
        <v>163.71</v>
      </c>
      <c r="G885" s="63">
        <v>300</v>
      </c>
      <c r="H885" s="63">
        <v>300</v>
      </c>
    </row>
    <row r="886" spans="1:10" x14ac:dyDescent="0.25">
      <c r="A886" s="61" t="s">
        <v>881</v>
      </c>
      <c r="B886" s="61" t="s">
        <v>882</v>
      </c>
      <c r="C886" s="62">
        <v>119</v>
      </c>
      <c r="D886" s="62">
        <v>4800</v>
      </c>
      <c r="E886" s="62">
        <v>4800</v>
      </c>
      <c r="F886" s="62" t="s">
        <v>0</v>
      </c>
      <c r="G886" s="63">
        <v>1500</v>
      </c>
      <c r="H886" s="63">
        <v>1500</v>
      </c>
    </row>
    <row r="887" spans="1:10" x14ac:dyDescent="0.25">
      <c r="A887" s="61" t="s">
        <v>883</v>
      </c>
      <c r="B887" s="61" t="s">
        <v>439</v>
      </c>
      <c r="C887" s="62">
        <v>4351</v>
      </c>
      <c r="D887" s="62">
        <v>2700</v>
      </c>
      <c r="E887" s="62">
        <v>2700</v>
      </c>
      <c r="F887" s="62">
        <v>2023.25</v>
      </c>
      <c r="G887" s="63">
        <v>2500</v>
      </c>
      <c r="H887" s="63">
        <v>2500</v>
      </c>
    </row>
    <row r="888" spans="1:10" x14ac:dyDescent="0.25">
      <c r="A888" s="61" t="s">
        <v>884</v>
      </c>
      <c r="B888" s="61" t="s">
        <v>439</v>
      </c>
      <c r="C888" s="62" t="s">
        <v>0</v>
      </c>
      <c r="D888" s="62">
        <v>330</v>
      </c>
      <c r="E888" s="62">
        <v>330</v>
      </c>
      <c r="F888" s="62" t="s">
        <v>0</v>
      </c>
      <c r="G888" s="63">
        <v>330</v>
      </c>
      <c r="H888" s="63">
        <v>330</v>
      </c>
    </row>
    <row r="889" spans="1:10" x14ac:dyDescent="0.25">
      <c r="A889" s="61" t="s">
        <v>885</v>
      </c>
      <c r="B889" s="61" t="s">
        <v>439</v>
      </c>
      <c r="C889" s="62">
        <v>1000</v>
      </c>
      <c r="D889" s="62">
        <v>1000</v>
      </c>
      <c r="E889" s="62">
        <v>1000</v>
      </c>
      <c r="F889" s="62">
        <v>1000</v>
      </c>
      <c r="G889" s="63">
        <v>700</v>
      </c>
      <c r="H889" s="63">
        <v>700</v>
      </c>
    </row>
    <row r="890" spans="1:10" x14ac:dyDescent="0.25">
      <c r="A890" s="61" t="s">
        <v>886</v>
      </c>
      <c r="B890" s="61" t="s">
        <v>439</v>
      </c>
      <c r="C890" s="62">
        <v>1052</v>
      </c>
      <c r="D890" s="62">
        <v>1000</v>
      </c>
      <c r="E890" s="62">
        <v>1000</v>
      </c>
      <c r="F890" s="62">
        <v>936.21</v>
      </c>
      <c r="G890" s="63">
        <v>900</v>
      </c>
      <c r="H890" s="63">
        <v>900</v>
      </c>
    </row>
    <row r="891" spans="1:10" x14ac:dyDescent="0.25">
      <c r="A891" s="61" t="s">
        <v>887</v>
      </c>
      <c r="B891" s="61" t="s">
        <v>1377</v>
      </c>
      <c r="C891" s="62">
        <v>749</v>
      </c>
      <c r="D891" s="62">
        <v>1400</v>
      </c>
      <c r="E891" s="62">
        <v>1400</v>
      </c>
      <c r="F891" s="62">
        <v>939.77</v>
      </c>
      <c r="G891" s="63">
        <v>2000</v>
      </c>
      <c r="H891" s="63">
        <v>2000</v>
      </c>
    </row>
    <row r="892" spans="1:10" x14ac:dyDescent="0.25">
      <c r="A892" s="61" t="s">
        <v>888</v>
      </c>
      <c r="B892" s="61" t="s">
        <v>1378</v>
      </c>
      <c r="C892" s="62">
        <v>4304</v>
      </c>
      <c r="D892" s="62">
        <v>4500</v>
      </c>
      <c r="E892" s="62">
        <v>4500</v>
      </c>
      <c r="F892" s="62">
        <v>4446.62</v>
      </c>
      <c r="G892" s="63">
        <v>4000</v>
      </c>
      <c r="H892" s="63">
        <v>4000</v>
      </c>
    </row>
    <row r="893" spans="1:10" ht="15.75" thickBot="1" x14ac:dyDescent="0.3">
      <c r="A893" s="61" t="s">
        <v>889</v>
      </c>
      <c r="B893" s="61" t="s">
        <v>1379</v>
      </c>
      <c r="C893" s="65" t="s">
        <v>0</v>
      </c>
      <c r="D893" s="65">
        <v>300</v>
      </c>
      <c r="E893" s="65">
        <v>300</v>
      </c>
      <c r="F893" s="65">
        <v>87.58</v>
      </c>
      <c r="G893" s="66">
        <v>200</v>
      </c>
      <c r="H893" s="66">
        <v>200</v>
      </c>
    </row>
    <row r="894" spans="1:10" s="3" customFormat="1" x14ac:dyDescent="0.25">
      <c r="B894" s="3" t="s">
        <v>1320</v>
      </c>
      <c r="C894" s="6">
        <f>SUM(C885:C893)</f>
        <v>11683</v>
      </c>
      <c r="D894" s="6">
        <f t="shared" ref="D894:H894" si="41">SUM(D885:D893)</f>
        <v>16330</v>
      </c>
      <c r="E894" s="6">
        <f t="shared" si="41"/>
        <v>16330</v>
      </c>
      <c r="F894" s="6">
        <f t="shared" si="41"/>
        <v>9597.1400000000012</v>
      </c>
      <c r="G894" s="8">
        <f t="shared" si="41"/>
        <v>12430</v>
      </c>
      <c r="H894" s="8">
        <f t="shared" si="41"/>
        <v>12430</v>
      </c>
      <c r="J894"/>
    </row>
    <row r="895" spans="1:10" x14ac:dyDescent="0.25">
      <c r="C895" s="4"/>
      <c r="D895" s="4"/>
      <c r="E895" s="4"/>
      <c r="F895" s="4"/>
    </row>
    <row r="896" spans="1:10" x14ac:dyDescent="0.25">
      <c r="A896" s="61" t="s">
        <v>890</v>
      </c>
      <c r="B896" s="61" t="s">
        <v>525</v>
      </c>
      <c r="C896" s="62">
        <v>0</v>
      </c>
      <c r="D896" s="62">
        <v>700</v>
      </c>
      <c r="E896" s="62">
        <v>700</v>
      </c>
      <c r="F896" s="62" t="s">
        <v>0</v>
      </c>
      <c r="G896" s="63">
        <v>700</v>
      </c>
      <c r="H896" s="63">
        <v>700</v>
      </c>
    </row>
    <row r="897" spans="1:10" x14ac:dyDescent="0.25">
      <c r="A897" s="61" t="s">
        <v>891</v>
      </c>
      <c r="B897" s="61" t="s">
        <v>525</v>
      </c>
      <c r="C897" s="62">
        <v>0</v>
      </c>
      <c r="D897" s="62">
        <v>237</v>
      </c>
      <c r="E897" s="62">
        <v>237</v>
      </c>
      <c r="F897" s="62" t="s">
        <v>0</v>
      </c>
      <c r="G897" s="63">
        <v>200</v>
      </c>
      <c r="H897" s="63">
        <v>200</v>
      </c>
    </row>
    <row r="898" spans="1:10" x14ac:dyDescent="0.25">
      <c r="A898" s="61" t="s">
        <v>892</v>
      </c>
      <c r="B898" s="61" t="s">
        <v>525</v>
      </c>
      <c r="C898" s="62">
        <v>500</v>
      </c>
      <c r="D898" s="62">
        <v>500</v>
      </c>
      <c r="E898" s="62">
        <v>500</v>
      </c>
      <c r="F898" s="62">
        <v>802.5</v>
      </c>
      <c r="G898" s="63">
        <v>500</v>
      </c>
      <c r="H898" s="63">
        <v>500</v>
      </c>
    </row>
    <row r="899" spans="1:10" x14ac:dyDescent="0.25">
      <c r="A899" s="61" t="s">
        <v>893</v>
      </c>
      <c r="B899" s="61" t="s">
        <v>525</v>
      </c>
      <c r="C899" s="62">
        <v>572</v>
      </c>
      <c r="D899" s="62">
        <v>500</v>
      </c>
      <c r="E899" s="62">
        <v>500</v>
      </c>
      <c r="F899" s="62" t="s">
        <v>0</v>
      </c>
      <c r="G899" s="63">
        <v>100</v>
      </c>
      <c r="H899" s="63">
        <v>100</v>
      </c>
    </row>
    <row r="900" spans="1:10" x14ac:dyDescent="0.25">
      <c r="A900" s="61" t="s">
        <v>894</v>
      </c>
      <c r="B900" s="61" t="s">
        <v>1380</v>
      </c>
      <c r="C900" s="62" t="s">
        <v>0</v>
      </c>
      <c r="D900" s="62">
        <v>700</v>
      </c>
      <c r="E900" s="62">
        <v>700</v>
      </c>
      <c r="F900" s="62" t="s">
        <v>0</v>
      </c>
      <c r="G900" s="63">
        <v>700</v>
      </c>
      <c r="H900" s="63">
        <v>700</v>
      </c>
    </row>
    <row r="901" spans="1:10" x14ac:dyDescent="0.25">
      <c r="A901" s="61" t="s">
        <v>895</v>
      </c>
      <c r="B901" s="61" t="s">
        <v>1381</v>
      </c>
      <c r="C901" s="62">
        <v>2105</v>
      </c>
      <c r="D901" s="62">
        <v>2100</v>
      </c>
      <c r="E901" s="62">
        <v>2100</v>
      </c>
      <c r="F901" s="62">
        <v>1010.11</v>
      </c>
      <c r="G901" s="63">
        <v>2100</v>
      </c>
      <c r="H901" s="63">
        <v>2100</v>
      </c>
    </row>
    <row r="902" spans="1:10" x14ac:dyDescent="0.25">
      <c r="A902" s="61" t="s">
        <v>896</v>
      </c>
      <c r="B902" s="61" t="s">
        <v>1382</v>
      </c>
      <c r="C902" s="62">
        <v>1164</v>
      </c>
      <c r="D902" s="62">
        <v>1200</v>
      </c>
      <c r="E902" s="62">
        <v>1200</v>
      </c>
      <c r="F902" s="62">
        <v>822.75</v>
      </c>
      <c r="G902" s="63">
        <v>1200</v>
      </c>
      <c r="H902" s="63">
        <v>1200</v>
      </c>
    </row>
    <row r="903" spans="1:10" ht="15.75" thickBot="1" x14ac:dyDescent="0.3">
      <c r="A903" s="61" t="s">
        <v>897</v>
      </c>
      <c r="B903" s="61" t="s">
        <v>545</v>
      </c>
      <c r="C903" s="65">
        <v>150</v>
      </c>
      <c r="D903" s="65">
        <v>200</v>
      </c>
      <c r="E903" s="65">
        <v>200</v>
      </c>
      <c r="F903" s="65" t="s">
        <v>0</v>
      </c>
      <c r="G903" s="66">
        <v>200</v>
      </c>
      <c r="H903" s="66">
        <v>200</v>
      </c>
    </row>
    <row r="904" spans="1:10" s="3" customFormat="1" x14ac:dyDescent="0.25">
      <c r="B904" s="3" t="s">
        <v>1359</v>
      </c>
      <c r="C904" s="6">
        <f>SUM(C896:C903)</f>
        <v>4491</v>
      </c>
      <c r="D904" s="6">
        <f>SUM(D896:D903)</f>
        <v>6137</v>
      </c>
      <c r="E904" s="6">
        <f t="shared" ref="E904:H904" si="42">SUM(E896:E903)</f>
        <v>6137</v>
      </c>
      <c r="F904" s="6">
        <f t="shared" si="42"/>
        <v>2635.36</v>
      </c>
      <c r="G904" s="8">
        <f t="shared" si="42"/>
        <v>5700</v>
      </c>
      <c r="H904" s="8">
        <f t="shared" si="42"/>
        <v>5700</v>
      </c>
      <c r="J904"/>
    </row>
    <row r="905" spans="1:10" x14ac:dyDescent="0.25">
      <c r="C905" s="4"/>
      <c r="D905" s="4"/>
      <c r="E905" s="4"/>
      <c r="F905" s="4"/>
    </row>
    <row r="906" spans="1:10" s="3" customFormat="1" x14ac:dyDescent="0.25">
      <c r="A906" s="3" t="s">
        <v>898</v>
      </c>
      <c r="B906" s="3" t="s">
        <v>1383</v>
      </c>
      <c r="C906" s="6">
        <v>671059</v>
      </c>
      <c r="D906" s="6">
        <v>611314</v>
      </c>
      <c r="E906" s="6">
        <v>611314</v>
      </c>
      <c r="F906" s="6">
        <v>578012.38</v>
      </c>
      <c r="G906" s="14">
        <f>G904+G894+G883+G879</f>
        <v>622177.37171500013</v>
      </c>
      <c r="H906" s="14">
        <f>H904+H894+H883+H879</f>
        <v>638195.93937075033</v>
      </c>
      <c r="J906"/>
    </row>
    <row r="907" spans="1:10" x14ac:dyDescent="0.25">
      <c r="C907" s="4"/>
      <c r="D907" s="4"/>
      <c r="E907" s="4"/>
      <c r="F907" s="4"/>
    </row>
    <row r="908" spans="1:10" x14ac:dyDescent="0.25">
      <c r="A908" s="61" t="s">
        <v>899</v>
      </c>
      <c r="B908" s="61" t="s">
        <v>380</v>
      </c>
      <c r="C908" s="62">
        <v>0</v>
      </c>
      <c r="D908" s="62">
        <v>7986</v>
      </c>
      <c r="E908" s="62" t="s">
        <v>0</v>
      </c>
      <c r="F908" s="62" t="s">
        <v>0</v>
      </c>
      <c r="G908" s="63"/>
      <c r="H908" s="63"/>
    </row>
    <row r="909" spans="1:10" ht="15.75" thickBot="1" x14ac:dyDescent="0.3">
      <c r="A909" s="61" t="s">
        <v>900</v>
      </c>
      <c r="B909" s="61" t="s">
        <v>380</v>
      </c>
      <c r="C909" s="71">
        <v>0</v>
      </c>
      <c r="D909" s="71" t="s">
        <v>0</v>
      </c>
      <c r="E909" s="65">
        <v>7986</v>
      </c>
      <c r="F909" s="65">
        <v>4750</v>
      </c>
      <c r="G909" s="66">
        <v>7986</v>
      </c>
      <c r="H909" s="66">
        <v>7986</v>
      </c>
    </row>
    <row r="910" spans="1:10" s="3" customFormat="1" x14ac:dyDescent="0.25">
      <c r="B910" s="3" t="s">
        <v>1298</v>
      </c>
      <c r="C910" s="6">
        <f>SUM(C908:C909)</f>
        <v>0</v>
      </c>
      <c r="D910" s="6">
        <f t="shared" ref="D910:H910" si="43">SUM(D908:D909)</f>
        <v>7986</v>
      </c>
      <c r="E910" s="6">
        <f t="shared" si="43"/>
        <v>7986</v>
      </c>
      <c r="F910" s="6">
        <f t="shared" si="43"/>
        <v>4750</v>
      </c>
      <c r="G910" s="8">
        <f t="shared" si="43"/>
        <v>7986</v>
      </c>
      <c r="H910" s="8">
        <f t="shared" si="43"/>
        <v>7986</v>
      </c>
      <c r="J910"/>
    </row>
    <row r="911" spans="1:10" x14ac:dyDescent="0.25">
      <c r="C911" s="4"/>
      <c r="D911" s="4"/>
      <c r="E911" s="4"/>
      <c r="F911" s="4"/>
    </row>
    <row r="912" spans="1:10" s="3" customFormat="1" x14ac:dyDescent="0.25">
      <c r="A912" s="3" t="s">
        <v>901</v>
      </c>
      <c r="B912" s="3" t="s">
        <v>1384</v>
      </c>
      <c r="C912" s="6">
        <v>0</v>
      </c>
      <c r="D912" s="6">
        <v>7986</v>
      </c>
      <c r="E912" s="6">
        <v>7986</v>
      </c>
      <c r="F912" s="6">
        <v>4750</v>
      </c>
      <c r="G912" s="14">
        <f>G910</f>
        <v>7986</v>
      </c>
      <c r="H912" s="14">
        <f>H910</f>
        <v>7986</v>
      </c>
      <c r="J912"/>
    </row>
    <row r="913" spans="1:8" x14ac:dyDescent="0.25">
      <c r="C913" s="4"/>
      <c r="D913" s="4"/>
      <c r="E913" s="4"/>
      <c r="F913" s="4"/>
    </row>
    <row r="914" spans="1:8" x14ac:dyDescent="0.25">
      <c r="A914" s="61" t="s">
        <v>902</v>
      </c>
      <c r="B914" s="61" t="s">
        <v>72</v>
      </c>
      <c r="C914" s="62">
        <v>29817</v>
      </c>
      <c r="D914" s="62">
        <v>29330</v>
      </c>
      <c r="E914" s="62">
        <v>29330</v>
      </c>
      <c r="F914" s="62">
        <v>27343.8</v>
      </c>
      <c r="G914" s="63">
        <f>29829.5</f>
        <v>29829.5</v>
      </c>
      <c r="H914" s="62">
        <f>G914+(G914*3%)</f>
        <v>30724.384999999998</v>
      </c>
    </row>
    <row r="915" spans="1:8" x14ac:dyDescent="0.25">
      <c r="A915" s="61" t="s">
        <v>903</v>
      </c>
      <c r="B915" s="61" t="s">
        <v>72</v>
      </c>
      <c r="C915" s="62">
        <v>29817</v>
      </c>
      <c r="D915" s="62">
        <v>29330</v>
      </c>
      <c r="E915" s="62">
        <v>29330</v>
      </c>
      <c r="F915" s="62">
        <v>27343.69</v>
      </c>
      <c r="G915" s="63">
        <f>29829.5</f>
        <v>29829.5</v>
      </c>
      <c r="H915" s="62">
        <f t="shared" ref="H915:H921" si="44">G915+(G915*3%)</f>
        <v>30724.384999999998</v>
      </c>
    </row>
    <row r="916" spans="1:8" x14ac:dyDescent="0.25">
      <c r="A916" s="75" t="s">
        <v>904</v>
      </c>
      <c r="B916" s="75" t="s">
        <v>109</v>
      </c>
      <c r="C916" s="63">
        <v>313</v>
      </c>
      <c r="D916" s="63" t="s">
        <v>0</v>
      </c>
      <c r="E916" s="63" t="s">
        <v>0</v>
      </c>
      <c r="F916" s="63" t="s">
        <v>0</v>
      </c>
      <c r="G916" s="63">
        <v>0</v>
      </c>
      <c r="H916" s="62">
        <f t="shared" si="44"/>
        <v>0</v>
      </c>
    </row>
    <row r="917" spans="1:8" x14ac:dyDescent="0.25">
      <c r="A917" s="75" t="s">
        <v>905</v>
      </c>
      <c r="B917" s="75" t="s">
        <v>109</v>
      </c>
      <c r="C917" s="63">
        <v>593</v>
      </c>
      <c r="D917" s="63" t="s">
        <v>0</v>
      </c>
      <c r="E917" s="76">
        <v>-642.96</v>
      </c>
      <c r="F917" s="63">
        <v>614.86</v>
      </c>
      <c r="G917" s="63">
        <v>0</v>
      </c>
      <c r="H917" s="62">
        <f t="shared" si="44"/>
        <v>0</v>
      </c>
    </row>
    <row r="918" spans="1:8" x14ac:dyDescent="0.25">
      <c r="A918" s="75" t="s">
        <v>906</v>
      </c>
      <c r="B918" s="75" t="s">
        <v>109</v>
      </c>
      <c r="C918" s="63">
        <v>0</v>
      </c>
      <c r="D918" s="63" t="s">
        <v>0</v>
      </c>
      <c r="E918" s="63">
        <v>642.96</v>
      </c>
      <c r="F918" s="63">
        <v>123.12</v>
      </c>
      <c r="G918" s="63">
        <v>0</v>
      </c>
      <c r="H918" s="62">
        <f t="shared" si="44"/>
        <v>0</v>
      </c>
    </row>
    <row r="919" spans="1:8" x14ac:dyDescent="0.25">
      <c r="A919" s="75" t="s">
        <v>907</v>
      </c>
      <c r="B919" s="75" t="s">
        <v>109</v>
      </c>
      <c r="C919" s="63">
        <v>0</v>
      </c>
      <c r="D919" s="63">
        <v>3000</v>
      </c>
      <c r="E919" s="63">
        <v>3000</v>
      </c>
      <c r="F919" s="63" t="s">
        <v>0</v>
      </c>
      <c r="G919" s="63">
        <v>0</v>
      </c>
      <c r="H919" s="62">
        <v>0</v>
      </c>
    </row>
    <row r="920" spans="1:8" x14ac:dyDescent="0.25">
      <c r="A920" s="61" t="s">
        <v>908</v>
      </c>
      <c r="B920" s="61" t="s">
        <v>141</v>
      </c>
      <c r="C920" s="62">
        <v>27724</v>
      </c>
      <c r="D920" s="62">
        <v>27152</v>
      </c>
      <c r="E920" s="62">
        <v>27152</v>
      </c>
      <c r="F920" s="62">
        <v>115.73</v>
      </c>
      <c r="G920" s="63">
        <v>0</v>
      </c>
      <c r="H920" s="62">
        <f t="shared" si="44"/>
        <v>0</v>
      </c>
    </row>
    <row r="921" spans="1:8" x14ac:dyDescent="0.25">
      <c r="A921" s="61" t="s">
        <v>909</v>
      </c>
      <c r="B921" s="61" t="s">
        <v>141</v>
      </c>
      <c r="C921" s="62">
        <v>16344</v>
      </c>
      <c r="D921" s="62">
        <v>27152</v>
      </c>
      <c r="E921" s="62">
        <v>27152</v>
      </c>
      <c r="F921" s="62">
        <v>32314.04</v>
      </c>
      <c r="G921" s="63">
        <f>26928+13576.2</f>
        <v>40504.199999999997</v>
      </c>
      <c r="H921" s="62">
        <f t="shared" si="44"/>
        <v>41719.325999999994</v>
      </c>
    </row>
    <row r="922" spans="1:8" x14ac:dyDescent="0.25">
      <c r="A922" s="61" t="s">
        <v>910</v>
      </c>
      <c r="B922" s="61" t="s">
        <v>141</v>
      </c>
      <c r="C922" s="62">
        <v>13704</v>
      </c>
      <c r="D922" s="62">
        <v>27287</v>
      </c>
      <c r="E922" s="62">
        <v>27287</v>
      </c>
      <c r="F922" s="62">
        <v>24953.84</v>
      </c>
      <c r="G922" s="63">
        <v>30000</v>
      </c>
      <c r="H922" s="62">
        <v>30000</v>
      </c>
    </row>
    <row r="923" spans="1:8" x14ac:dyDescent="0.25">
      <c r="A923" s="61" t="s">
        <v>911</v>
      </c>
      <c r="B923" s="61" t="s">
        <v>172</v>
      </c>
      <c r="C923" s="62">
        <v>318</v>
      </c>
      <c r="D923" s="62">
        <v>561</v>
      </c>
      <c r="E923" s="62">
        <v>561</v>
      </c>
      <c r="F923" s="62">
        <v>282.24</v>
      </c>
      <c r="G923" s="63">
        <f>(G914+G916)*1.45%</f>
        <v>432.52774999999997</v>
      </c>
      <c r="H923" s="63">
        <f>(H914+H916)*1.45%</f>
        <v>445.50358249999994</v>
      </c>
    </row>
    <row r="924" spans="1:8" x14ac:dyDescent="0.25">
      <c r="A924" s="61" t="s">
        <v>912</v>
      </c>
      <c r="B924" s="61" t="s">
        <v>172</v>
      </c>
      <c r="C924" s="62">
        <v>314</v>
      </c>
      <c r="D924" s="62">
        <v>675</v>
      </c>
      <c r="E924" s="62">
        <v>675</v>
      </c>
      <c r="F924" s="62">
        <v>282.2</v>
      </c>
      <c r="G924" s="63">
        <f>G915</f>
        <v>29829.5</v>
      </c>
      <c r="H924" s="63">
        <f>H915</f>
        <v>30724.384999999998</v>
      </c>
    </row>
    <row r="925" spans="1:8" x14ac:dyDescent="0.25">
      <c r="A925" s="61" t="s">
        <v>913</v>
      </c>
      <c r="B925" s="61" t="s">
        <v>172</v>
      </c>
      <c r="C925" s="62">
        <v>337</v>
      </c>
      <c r="D925" s="62">
        <v>390</v>
      </c>
      <c r="E925" s="62">
        <v>390</v>
      </c>
      <c r="F925" s="62">
        <v>1.36</v>
      </c>
      <c r="G925" s="63">
        <v>0</v>
      </c>
      <c r="H925" s="63">
        <v>1</v>
      </c>
    </row>
    <row r="926" spans="1:8" x14ac:dyDescent="0.25">
      <c r="A926" s="61" t="s">
        <v>914</v>
      </c>
      <c r="B926" s="61" t="s">
        <v>172</v>
      </c>
      <c r="C926" s="62">
        <v>240</v>
      </c>
      <c r="D926" s="62">
        <v>1060</v>
      </c>
      <c r="E926" s="62">
        <v>1060</v>
      </c>
      <c r="F926" s="62">
        <v>459.55</v>
      </c>
      <c r="G926" s="63">
        <f>(G917+G921)*1.45%</f>
        <v>587.31089999999995</v>
      </c>
      <c r="H926" s="63">
        <f>(H917+H921)*1.45%</f>
        <v>604.93022699999983</v>
      </c>
    </row>
    <row r="927" spans="1:8" x14ac:dyDescent="0.25">
      <c r="A927" s="61" t="s">
        <v>915</v>
      </c>
      <c r="B927" s="61" t="s">
        <v>172</v>
      </c>
      <c r="C927" s="62">
        <v>197</v>
      </c>
      <c r="D927" s="62" t="s">
        <v>0</v>
      </c>
      <c r="E927" s="62" t="s">
        <v>0</v>
      </c>
      <c r="F927" s="62">
        <v>356.27</v>
      </c>
      <c r="G927" s="63">
        <f>(G918+G922)*1.45%</f>
        <v>434.99999999999994</v>
      </c>
      <c r="H927" s="63">
        <f>(H918+H922)*1.45%</f>
        <v>434.99999999999994</v>
      </c>
    </row>
    <row r="928" spans="1:8" x14ac:dyDescent="0.25">
      <c r="A928" s="61" t="s">
        <v>916</v>
      </c>
      <c r="B928" s="61" t="s">
        <v>172</v>
      </c>
      <c r="C928" s="62">
        <v>0</v>
      </c>
      <c r="D928" s="62">
        <v>59</v>
      </c>
      <c r="E928" s="62">
        <v>59</v>
      </c>
      <c r="F928" s="62" t="s">
        <v>0</v>
      </c>
      <c r="G928" s="63">
        <f>G919*1.45%</f>
        <v>0</v>
      </c>
      <c r="H928" s="63">
        <f>H919*1.45%</f>
        <v>0</v>
      </c>
    </row>
    <row r="929" spans="1:8" x14ac:dyDescent="0.25">
      <c r="A929" s="61" t="s">
        <v>917</v>
      </c>
      <c r="B929" s="61" t="s">
        <v>218</v>
      </c>
      <c r="C929" s="62">
        <v>2473</v>
      </c>
      <c r="D929" s="62">
        <v>5936</v>
      </c>
      <c r="E929" s="62">
        <v>5936</v>
      </c>
      <c r="F929" s="62">
        <v>2468.9499999999998</v>
      </c>
      <c r="G929" s="63">
        <v>5936</v>
      </c>
      <c r="H929" s="63">
        <v>5936</v>
      </c>
    </row>
    <row r="930" spans="1:8" x14ac:dyDescent="0.25">
      <c r="A930" s="61" t="s">
        <v>918</v>
      </c>
      <c r="B930" s="61" t="s">
        <v>218</v>
      </c>
      <c r="C930" s="62">
        <v>2473</v>
      </c>
      <c r="D930" s="62">
        <v>3959</v>
      </c>
      <c r="E930" s="62">
        <v>3959</v>
      </c>
      <c r="F930" s="62">
        <v>2468.6799999999998</v>
      </c>
      <c r="G930" s="63">
        <v>3959</v>
      </c>
      <c r="H930" s="63">
        <v>3959</v>
      </c>
    </row>
    <row r="931" spans="1:8" x14ac:dyDescent="0.25">
      <c r="A931" s="61" t="s">
        <v>919</v>
      </c>
      <c r="B931" s="61" t="s">
        <v>218</v>
      </c>
      <c r="C931" s="62">
        <v>4945</v>
      </c>
      <c r="D931" s="62">
        <v>4947</v>
      </c>
      <c r="E931" s="62">
        <v>4947</v>
      </c>
      <c r="F931" s="62" t="s">
        <v>0</v>
      </c>
      <c r="G931" s="63">
        <v>0</v>
      </c>
      <c r="H931" s="63">
        <v>0</v>
      </c>
    </row>
    <row r="932" spans="1:8" x14ac:dyDescent="0.25">
      <c r="A932" s="61" t="s">
        <v>920</v>
      </c>
      <c r="B932" s="61" t="s">
        <v>218</v>
      </c>
      <c r="C932" s="62">
        <v>2885</v>
      </c>
      <c r="D932" s="62">
        <v>8907</v>
      </c>
      <c r="E932" s="62">
        <v>8907</v>
      </c>
      <c r="F932" s="62">
        <v>4279.6000000000004</v>
      </c>
      <c r="G932" s="63">
        <v>8907</v>
      </c>
      <c r="H932" s="63">
        <v>8907</v>
      </c>
    </row>
    <row r="933" spans="1:8" x14ac:dyDescent="0.25">
      <c r="A933" s="61" t="s">
        <v>921</v>
      </c>
      <c r="B933" s="61" t="s">
        <v>218</v>
      </c>
      <c r="C933" s="62">
        <v>2060</v>
      </c>
      <c r="D933" s="62">
        <v>3464</v>
      </c>
      <c r="E933" s="62">
        <v>3464</v>
      </c>
      <c r="F933" s="62">
        <v>4937.63</v>
      </c>
      <c r="G933" s="63">
        <v>3464</v>
      </c>
      <c r="H933" s="63">
        <v>3464</v>
      </c>
    </row>
    <row r="934" spans="1:8" x14ac:dyDescent="0.25">
      <c r="A934" s="61" t="s">
        <v>922</v>
      </c>
      <c r="B934" s="61" t="s">
        <v>249</v>
      </c>
      <c r="C934" s="62">
        <v>192</v>
      </c>
      <c r="D934" s="62">
        <v>248</v>
      </c>
      <c r="E934" s="62">
        <v>248</v>
      </c>
      <c r="F934" s="62">
        <v>176.99</v>
      </c>
      <c r="G934" s="63">
        <f>(G914+G916)*0.65%</f>
        <v>193.89175000000003</v>
      </c>
      <c r="H934" s="63">
        <f>(H914+H916)*0.65%</f>
        <v>199.70850250000001</v>
      </c>
    </row>
    <row r="935" spans="1:8" x14ac:dyDescent="0.25">
      <c r="A935" s="61" t="s">
        <v>923</v>
      </c>
      <c r="B935" s="61" t="s">
        <v>249</v>
      </c>
      <c r="C935" s="62">
        <v>190</v>
      </c>
      <c r="D935" s="62">
        <v>301</v>
      </c>
      <c r="E935" s="62">
        <v>301</v>
      </c>
      <c r="F935" s="62">
        <v>176.99</v>
      </c>
      <c r="G935" s="63">
        <f>G915*0.65%</f>
        <v>193.89175000000003</v>
      </c>
      <c r="H935" s="63">
        <f>H915*0.65%</f>
        <v>199.70850250000001</v>
      </c>
    </row>
    <row r="936" spans="1:8" x14ac:dyDescent="0.25">
      <c r="A936" s="61" t="s">
        <v>924</v>
      </c>
      <c r="B936" s="61" t="s">
        <v>249</v>
      </c>
      <c r="C936" s="62">
        <v>175</v>
      </c>
      <c r="D936" s="62">
        <v>172</v>
      </c>
      <c r="E936" s="62">
        <v>172</v>
      </c>
      <c r="F936" s="62">
        <v>0.74</v>
      </c>
      <c r="G936" s="63">
        <v>0</v>
      </c>
      <c r="H936" s="63">
        <v>1</v>
      </c>
    </row>
    <row r="937" spans="1:8" x14ac:dyDescent="0.25">
      <c r="A937" s="61" t="s">
        <v>925</v>
      </c>
      <c r="B937" s="61" t="s">
        <v>249</v>
      </c>
      <c r="C937" s="62">
        <v>104</v>
      </c>
      <c r="D937" s="62">
        <v>471</v>
      </c>
      <c r="E937" s="62">
        <v>471</v>
      </c>
      <c r="F937" s="62">
        <v>212.02</v>
      </c>
      <c r="G937" s="63">
        <f>(G917+G921)*0.65%</f>
        <v>263.27730000000003</v>
      </c>
      <c r="H937" s="63">
        <f>(H917+H921)*0.65%</f>
        <v>271.17561899999998</v>
      </c>
    </row>
    <row r="938" spans="1:8" x14ac:dyDescent="0.25">
      <c r="A938" s="61" t="s">
        <v>926</v>
      </c>
      <c r="B938" s="61" t="s">
        <v>249</v>
      </c>
      <c r="C938" s="62">
        <v>73</v>
      </c>
      <c r="D938" s="62">
        <v>262</v>
      </c>
      <c r="E938" s="62">
        <v>262</v>
      </c>
      <c r="F938" s="62">
        <v>160.47999999999999</v>
      </c>
      <c r="G938" s="63">
        <f>(G918+G922)*0.65%</f>
        <v>195.00000000000003</v>
      </c>
      <c r="H938" s="63">
        <f>(H918+H922)*0.65%</f>
        <v>195.00000000000003</v>
      </c>
    </row>
    <row r="939" spans="1:8" x14ac:dyDescent="0.25">
      <c r="A939" s="61" t="s">
        <v>927</v>
      </c>
      <c r="B939" s="61" t="s">
        <v>249</v>
      </c>
      <c r="C939" s="62">
        <v>0</v>
      </c>
      <c r="D939" s="62">
        <v>19</v>
      </c>
      <c r="E939" s="62">
        <v>19</v>
      </c>
      <c r="F939" s="62" t="s">
        <v>0</v>
      </c>
      <c r="G939" s="63">
        <f>G919*0.65%</f>
        <v>0</v>
      </c>
      <c r="H939" s="63">
        <f>H919*0.65%</f>
        <v>0</v>
      </c>
    </row>
    <row r="940" spans="1:8" x14ac:dyDescent="0.25">
      <c r="A940" s="61" t="s">
        <v>928</v>
      </c>
      <c r="B940" s="61" t="s">
        <v>292</v>
      </c>
      <c r="C940" s="62">
        <v>2023</v>
      </c>
      <c r="D940" s="62">
        <v>2874</v>
      </c>
      <c r="E940" s="62">
        <v>2874</v>
      </c>
      <c r="F940" s="62">
        <v>1833.59</v>
      </c>
      <c r="G940" s="63">
        <v>2874</v>
      </c>
      <c r="H940" s="62">
        <f>G940+(G940*3%)</f>
        <v>2960.22</v>
      </c>
    </row>
    <row r="941" spans="1:8" x14ac:dyDescent="0.25">
      <c r="A941" s="61" t="s">
        <v>929</v>
      </c>
      <c r="B941" s="61" t="s">
        <v>292</v>
      </c>
      <c r="C941" s="62">
        <v>1995</v>
      </c>
      <c r="D941" s="62">
        <v>3070</v>
      </c>
      <c r="E941" s="62">
        <v>3070</v>
      </c>
      <c r="F941" s="62">
        <v>1833.7</v>
      </c>
      <c r="G941" s="63">
        <v>3070</v>
      </c>
      <c r="H941" s="62">
        <f t="shared" ref="H941:H945" si="45">G941+(G941*3%)</f>
        <v>3162.1</v>
      </c>
    </row>
    <row r="942" spans="1:8" x14ac:dyDescent="0.25">
      <c r="A942" s="61" t="s">
        <v>930</v>
      </c>
      <c r="B942" s="61" t="s">
        <v>292</v>
      </c>
      <c r="C942" s="62">
        <v>2128</v>
      </c>
      <c r="D942" s="62">
        <v>2097</v>
      </c>
      <c r="E942" s="62">
        <v>2097</v>
      </c>
      <c r="F942" s="62">
        <v>9.0299999999999994</v>
      </c>
      <c r="G942" s="63">
        <v>0</v>
      </c>
      <c r="H942" s="62">
        <f t="shared" si="45"/>
        <v>0</v>
      </c>
    </row>
    <row r="943" spans="1:8" x14ac:dyDescent="0.25">
      <c r="A943" s="61" t="s">
        <v>931</v>
      </c>
      <c r="B943" s="61" t="s">
        <v>292</v>
      </c>
      <c r="C943" s="62">
        <v>1272</v>
      </c>
      <c r="D943" s="62">
        <v>5118</v>
      </c>
      <c r="E943" s="62">
        <v>5118</v>
      </c>
      <c r="F943" s="62">
        <v>2085.73</v>
      </c>
      <c r="G943" s="63">
        <v>5118</v>
      </c>
      <c r="H943" s="62">
        <f t="shared" si="45"/>
        <v>5271.54</v>
      </c>
    </row>
    <row r="944" spans="1:8" x14ac:dyDescent="0.25">
      <c r="A944" s="61" t="s">
        <v>932</v>
      </c>
      <c r="B944" s="61" t="s">
        <v>292</v>
      </c>
      <c r="C944" s="62">
        <v>887</v>
      </c>
      <c r="D944" s="62">
        <v>2684</v>
      </c>
      <c r="E944" s="62">
        <v>2684</v>
      </c>
      <c r="F944" s="62">
        <v>1956.05</v>
      </c>
      <c r="G944" s="63">
        <v>2684</v>
      </c>
      <c r="H944" s="62">
        <f t="shared" si="45"/>
        <v>2764.52</v>
      </c>
    </row>
    <row r="945" spans="1:10" x14ac:dyDescent="0.25">
      <c r="A945" s="61" t="s">
        <v>933</v>
      </c>
      <c r="B945" s="61" t="s">
        <v>292</v>
      </c>
      <c r="C945" s="62">
        <v>408</v>
      </c>
      <c r="D945" s="62">
        <v>234</v>
      </c>
      <c r="E945" s="62">
        <v>234</v>
      </c>
      <c r="F945" s="62" t="s">
        <v>0</v>
      </c>
      <c r="G945" s="63">
        <v>234</v>
      </c>
      <c r="H945" s="62">
        <f t="shared" si="45"/>
        <v>241.02</v>
      </c>
    </row>
    <row r="946" spans="1:10" x14ac:dyDescent="0.25">
      <c r="A946" s="61" t="s">
        <v>934</v>
      </c>
      <c r="B946" s="61" t="s">
        <v>331</v>
      </c>
      <c r="C946" s="62">
        <v>834</v>
      </c>
      <c r="D946" s="62">
        <v>902</v>
      </c>
      <c r="E946" s="62">
        <v>902</v>
      </c>
      <c r="F946" s="62">
        <v>793.76</v>
      </c>
      <c r="G946" s="63">
        <f>(G914+G916)*0.75%</f>
        <v>223.72125</v>
      </c>
      <c r="H946" s="63">
        <f>(H914+H916)*0.75%</f>
        <v>230.43288749999999</v>
      </c>
    </row>
    <row r="947" spans="1:10" x14ac:dyDescent="0.25">
      <c r="A947" s="61" t="s">
        <v>935</v>
      </c>
      <c r="B947" s="61" t="s">
        <v>331</v>
      </c>
      <c r="C947" s="62">
        <v>827</v>
      </c>
      <c r="D947" s="62">
        <v>1403</v>
      </c>
      <c r="E947" s="62">
        <v>1403</v>
      </c>
      <c r="F947" s="62">
        <v>793.65</v>
      </c>
      <c r="G947" s="63">
        <f>G915*0.75%</f>
        <v>223.72125</v>
      </c>
      <c r="H947" s="63">
        <f>H915*0.75%</f>
        <v>230.43288749999999</v>
      </c>
    </row>
    <row r="948" spans="1:10" x14ac:dyDescent="0.25">
      <c r="A948" s="61" t="s">
        <v>936</v>
      </c>
      <c r="B948" s="61" t="s">
        <v>331</v>
      </c>
      <c r="C948" s="62">
        <v>559</v>
      </c>
      <c r="D948" s="62">
        <v>551</v>
      </c>
      <c r="E948" s="62">
        <v>551</v>
      </c>
      <c r="F948" s="62">
        <v>2.38</v>
      </c>
      <c r="G948" s="63">
        <v>0</v>
      </c>
      <c r="H948" s="63">
        <v>1</v>
      </c>
    </row>
    <row r="949" spans="1:10" x14ac:dyDescent="0.25">
      <c r="A949" s="61" t="s">
        <v>937</v>
      </c>
      <c r="B949" s="61" t="s">
        <v>331</v>
      </c>
      <c r="C949" s="62">
        <v>334</v>
      </c>
      <c r="D949" s="62">
        <v>2084</v>
      </c>
      <c r="E949" s="62">
        <v>2084</v>
      </c>
      <c r="F949" s="62">
        <v>1177.31</v>
      </c>
      <c r="G949" s="63">
        <f>(G917+G921)*0.75%</f>
        <v>303.78149999999999</v>
      </c>
      <c r="H949" s="63">
        <f>(H917+H921)*0.75%</f>
        <v>312.89494499999995</v>
      </c>
    </row>
    <row r="950" spans="1:10" x14ac:dyDescent="0.25">
      <c r="A950" s="61" t="s">
        <v>938</v>
      </c>
      <c r="B950" s="61" t="s">
        <v>331</v>
      </c>
      <c r="C950" s="62">
        <v>233</v>
      </c>
      <c r="D950" s="62">
        <v>1307</v>
      </c>
      <c r="E950" s="62">
        <v>1307</v>
      </c>
      <c r="F950" s="62">
        <v>514.05999999999995</v>
      </c>
      <c r="G950" s="63">
        <f>(G918+G922)*0.75%</f>
        <v>225</v>
      </c>
      <c r="H950" s="63">
        <f>(H918+H922)*0.75%</f>
        <v>225</v>
      </c>
    </row>
    <row r="951" spans="1:10" ht="15.75" thickBot="1" x14ac:dyDescent="0.3">
      <c r="A951" s="61" t="s">
        <v>939</v>
      </c>
      <c r="B951" s="61" t="s">
        <v>331</v>
      </c>
      <c r="C951" s="65">
        <v>0</v>
      </c>
      <c r="D951" s="65">
        <v>116</v>
      </c>
      <c r="E951" s="65">
        <v>116</v>
      </c>
      <c r="F951" s="65" t="s">
        <v>0</v>
      </c>
      <c r="G951" s="66">
        <f>G919*0.75%</f>
        <v>0</v>
      </c>
      <c r="H951" s="66">
        <f>H919*0.75%</f>
        <v>0</v>
      </c>
    </row>
    <row r="952" spans="1:10" s="3" customFormat="1" x14ac:dyDescent="0.25">
      <c r="B952" s="3" t="s">
        <v>1274</v>
      </c>
      <c r="C952" s="6">
        <f>SUM(C914:C951)</f>
        <v>146788</v>
      </c>
      <c r="D952" s="6">
        <f t="shared" ref="D952:H952" si="46">SUM(D914:D951)</f>
        <v>197122</v>
      </c>
      <c r="E952" s="6">
        <f t="shared" si="46"/>
        <v>197122</v>
      </c>
      <c r="F952" s="6">
        <f t="shared" si="46"/>
        <v>140072.04000000004</v>
      </c>
      <c r="G952" s="8">
        <f t="shared" si="46"/>
        <v>199515.82345000003</v>
      </c>
      <c r="H952" s="8">
        <f t="shared" si="46"/>
        <v>203910.66815350001</v>
      </c>
      <c r="J952"/>
    </row>
    <row r="953" spans="1:10" x14ac:dyDescent="0.25">
      <c r="C953" s="4"/>
      <c r="D953" s="4"/>
      <c r="E953" s="4"/>
      <c r="F953" s="4"/>
    </row>
    <row r="954" spans="1:10" ht="15.75" thickBot="1" x14ac:dyDescent="0.3">
      <c r="A954" s="61" t="s">
        <v>940</v>
      </c>
      <c r="B954" s="61" t="s">
        <v>390</v>
      </c>
      <c r="C954" s="65">
        <v>0</v>
      </c>
      <c r="D954" s="65">
        <v>500</v>
      </c>
      <c r="E954" s="65">
        <v>500</v>
      </c>
      <c r="F954" s="65">
        <v>0</v>
      </c>
      <c r="G954" s="66">
        <v>0</v>
      </c>
      <c r="H954" s="66">
        <v>0</v>
      </c>
    </row>
    <row r="955" spans="1:10" s="3" customFormat="1" x14ac:dyDescent="0.25">
      <c r="B955" s="3" t="s">
        <v>1298</v>
      </c>
      <c r="C955" s="6">
        <f>SUM(C954)</f>
        <v>0</v>
      </c>
      <c r="D955" s="6">
        <f t="shared" ref="D955:H955" si="47">SUM(D954)</f>
        <v>500</v>
      </c>
      <c r="E955" s="6">
        <f t="shared" si="47"/>
        <v>500</v>
      </c>
      <c r="F955" s="6">
        <f t="shared" si="47"/>
        <v>0</v>
      </c>
      <c r="G955" s="8">
        <f t="shared" si="47"/>
        <v>0</v>
      </c>
      <c r="H955" s="8">
        <f t="shared" si="47"/>
        <v>0</v>
      </c>
      <c r="J955"/>
    </row>
    <row r="956" spans="1:10" x14ac:dyDescent="0.25">
      <c r="C956" s="4"/>
      <c r="D956" s="4"/>
      <c r="E956" s="4"/>
      <c r="F956" s="4"/>
    </row>
    <row r="957" spans="1:10" ht="15.75" thickBot="1" x14ac:dyDescent="0.3">
      <c r="A957" s="61" t="s">
        <v>941</v>
      </c>
      <c r="B957" s="61" t="s">
        <v>439</v>
      </c>
      <c r="C957" s="65">
        <v>9661</v>
      </c>
      <c r="D957" s="65">
        <v>8815</v>
      </c>
      <c r="E957" s="65">
        <v>8815</v>
      </c>
      <c r="F957" s="65">
        <v>5570.86</v>
      </c>
      <c r="G957" s="66">
        <v>6600</v>
      </c>
      <c r="H957" s="66">
        <v>6600</v>
      </c>
    </row>
    <row r="958" spans="1:10" s="3" customFormat="1" x14ac:dyDescent="0.25">
      <c r="B958" s="3" t="s">
        <v>1320</v>
      </c>
      <c r="C958" s="6">
        <f>SUM(C957)</f>
        <v>9661</v>
      </c>
      <c r="D958" s="6">
        <f t="shared" ref="D958:H958" si="48">SUM(D957)</f>
        <v>8815</v>
      </c>
      <c r="E958" s="6">
        <f t="shared" si="48"/>
        <v>8815</v>
      </c>
      <c r="F958" s="6">
        <f t="shared" si="48"/>
        <v>5570.86</v>
      </c>
      <c r="G958" s="8">
        <f t="shared" si="48"/>
        <v>6600</v>
      </c>
      <c r="H958" s="8">
        <f t="shared" si="48"/>
        <v>6600</v>
      </c>
      <c r="J958"/>
    </row>
    <row r="959" spans="1:10" x14ac:dyDescent="0.25">
      <c r="C959" s="4"/>
      <c r="D959" s="4"/>
      <c r="E959" s="4"/>
      <c r="F959" s="4"/>
    </row>
    <row r="960" spans="1:10" ht="15.75" thickBot="1" x14ac:dyDescent="0.3">
      <c r="A960" s="61" t="s">
        <v>942</v>
      </c>
      <c r="B960" s="61" t="s">
        <v>525</v>
      </c>
      <c r="C960" s="65">
        <v>1586</v>
      </c>
      <c r="D960" s="65">
        <v>2000</v>
      </c>
      <c r="E960" s="65">
        <v>2000</v>
      </c>
      <c r="F960" s="65">
        <v>692.37</v>
      </c>
      <c r="G960" s="66">
        <v>2000</v>
      </c>
      <c r="H960" s="66">
        <v>2000</v>
      </c>
    </row>
    <row r="961" spans="1:10" s="3" customFormat="1" x14ac:dyDescent="0.25">
      <c r="B961" s="3" t="s">
        <v>1359</v>
      </c>
      <c r="C961" s="6">
        <f>SUM(C960)</f>
        <v>1586</v>
      </c>
      <c r="D961" s="6">
        <f t="shared" ref="D961:H961" si="49">SUM(D960)</f>
        <v>2000</v>
      </c>
      <c r="E961" s="6">
        <f t="shared" si="49"/>
        <v>2000</v>
      </c>
      <c r="F961" s="6">
        <f t="shared" si="49"/>
        <v>692.37</v>
      </c>
      <c r="G961" s="8">
        <f t="shared" si="49"/>
        <v>2000</v>
      </c>
      <c r="H961" s="8">
        <f t="shared" si="49"/>
        <v>2000</v>
      </c>
      <c r="J961"/>
    </row>
    <row r="962" spans="1:10" x14ac:dyDescent="0.25">
      <c r="C962" s="4"/>
      <c r="D962" s="4"/>
      <c r="E962" s="4"/>
      <c r="F962" s="4"/>
    </row>
    <row r="963" spans="1:10" s="3" customFormat="1" x14ac:dyDescent="0.25">
      <c r="A963" s="3" t="s">
        <v>943</v>
      </c>
      <c r="B963" s="3" t="s">
        <v>1385</v>
      </c>
      <c r="C963" s="6">
        <v>158035</v>
      </c>
      <c r="D963" s="6">
        <v>208437</v>
      </c>
      <c r="E963" s="6">
        <v>208437</v>
      </c>
      <c r="F963" s="6">
        <v>146335.26999999999</v>
      </c>
      <c r="G963" s="14">
        <f>G961+G958+G955+G952</f>
        <v>208115.82345000003</v>
      </c>
      <c r="H963" s="14">
        <f>H961+H958+H955+H952</f>
        <v>212510.66815350001</v>
      </c>
      <c r="J963"/>
    </row>
    <row r="964" spans="1:10" x14ac:dyDescent="0.25">
      <c r="C964" s="4"/>
      <c r="D964" s="4"/>
      <c r="E964" s="4"/>
      <c r="F964" s="4"/>
    </row>
    <row r="965" spans="1:10" x14ac:dyDescent="0.25">
      <c r="A965" s="61" t="s">
        <v>944</v>
      </c>
      <c r="B965" s="61" t="s">
        <v>72</v>
      </c>
      <c r="C965" s="62">
        <v>97180</v>
      </c>
      <c r="D965" s="62">
        <v>38272</v>
      </c>
      <c r="E965" s="62">
        <v>38272</v>
      </c>
      <c r="F965" s="62">
        <v>66386.990000000005</v>
      </c>
      <c r="G965" s="63">
        <f>38272</f>
        <v>38272</v>
      </c>
      <c r="H965" s="62">
        <f>G965+(G965*3%)</f>
        <v>39420.160000000003</v>
      </c>
    </row>
    <row r="966" spans="1:10" x14ac:dyDescent="0.25">
      <c r="A966" s="75" t="s">
        <v>945</v>
      </c>
      <c r="B966" s="75" t="s">
        <v>109</v>
      </c>
      <c r="C966" s="63">
        <v>20303</v>
      </c>
      <c r="D966" s="63">
        <v>5000</v>
      </c>
      <c r="E966" s="63">
        <v>5000</v>
      </c>
      <c r="F966" s="63">
        <v>16355.53</v>
      </c>
      <c r="G966" s="63">
        <v>20000</v>
      </c>
      <c r="H966" s="63">
        <v>20000</v>
      </c>
    </row>
    <row r="967" spans="1:10" x14ac:dyDescent="0.25">
      <c r="A967" s="61" t="s">
        <v>946</v>
      </c>
      <c r="B967" s="61" t="s">
        <v>141</v>
      </c>
      <c r="C967" s="62">
        <v>55374</v>
      </c>
      <c r="D967" s="62">
        <v>157643</v>
      </c>
      <c r="E967" s="62">
        <v>157643</v>
      </c>
      <c r="F967" s="62">
        <v>26861.66</v>
      </c>
      <c r="G967" s="63">
        <f>164560+29203.2</f>
        <v>193763.20000000001</v>
      </c>
      <c r="H967" s="62">
        <f>G967+(G967*3%)</f>
        <v>199576.09600000002</v>
      </c>
    </row>
    <row r="968" spans="1:10" x14ac:dyDescent="0.25">
      <c r="A968" s="61" t="s">
        <v>947</v>
      </c>
      <c r="B968" s="61" t="s">
        <v>141</v>
      </c>
      <c r="C968" s="62">
        <v>11052</v>
      </c>
      <c r="D968" s="62">
        <v>14960</v>
      </c>
      <c r="E968" s="62">
        <v>14960</v>
      </c>
      <c r="F968" s="62">
        <v>14236.2</v>
      </c>
      <c r="G968" s="63">
        <v>0</v>
      </c>
      <c r="H968" s="62">
        <f t="shared" ref="H968:H969" si="50">G968+(G968*3%)</f>
        <v>0</v>
      </c>
    </row>
    <row r="969" spans="1:10" x14ac:dyDescent="0.25">
      <c r="A969" s="61" t="s">
        <v>948</v>
      </c>
      <c r="B969" s="61" t="s">
        <v>141</v>
      </c>
      <c r="C969" s="62">
        <v>330882</v>
      </c>
      <c r="D969" s="62">
        <v>174658</v>
      </c>
      <c r="E969" s="62">
        <v>174658</v>
      </c>
      <c r="F969" s="62">
        <v>312621.32</v>
      </c>
      <c r="G969" s="63">
        <f>84898</f>
        <v>84898</v>
      </c>
      <c r="H969" s="62">
        <f t="shared" si="50"/>
        <v>87444.94</v>
      </c>
    </row>
    <row r="970" spans="1:10" x14ac:dyDescent="0.25">
      <c r="A970" s="61" t="s">
        <v>949</v>
      </c>
      <c r="B970" s="61" t="s">
        <v>172</v>
      </c>
      <c r="C970" s="62">
        <v>2248</v>
      </c>
      <c r="D970" s="62">
        <v>1886</v>
      </c>
      <c r="E970" s="62">
        <v>1886</v>
      </c>
      <c r="F970" s="62">
        <v>1458.56</v>
      </c>
      <c r="G970" s="63">
        <f>(G965+G966+G967)*1.45%</f>
        <v>3654.5104000000001</v>
      </c>
      <c r="H970" s="63">
        <f>(H965+H966+H967)*1.45%</f>
        <v>3755.4457120000002</v>
      </c>
    </row>
    <row r="971" spans="1:10" x14ac:dyDescent="0.25">
      <c r="A971" s="61" t="s">
        <v>950</v>
      </c>
      <c r="B971" s="61" t="s">
        <v>172</v>
      </c>
      <c r="C971" s="62">
        <v>139</v>
      </c>
      <c r="D971" s="62" t="s">
        <v>0</v>
      </c>
      <c r="E971" s="62" t="s">
        <v>0</v>
      </c>
      <c r="F971" s="62">
        <v>174.17</v>
      </c>
      <c r="G971" s="63">
        <f>G968*1.45%</f>
        <v>0</v>
      </c>
      <c r="H971" s="63">
        <f>H968*1.45%</f>
        <v>0</v>
      </c>
    </row>
    <row r="972" spans="1:10" x14ac:dyDescent="0.25">
      <c r="A972" s="61" t="s">
        <v>951</v>
      </c>
      <c r="B972" s="61" t="s">
        <v>172</v>
      </c>
      <c r="C972" s="62">
        <v>4549</v>
      </c>
      <c r="D972" s="62">
        <v>2947</v>
      </c>
      <c r="E972" s="62">
        <v>2947</v>
      </c>
      <c r="F972" s="62">
        <v>4419.88</v>
      </c>
      <c r="G972" s="63">
        <f>G969*1.45%</f>
        <v>1231.021</v>
      </c>
      <c r="H972" s="63">
        <f>H969*1.45%</f>
        <v>1267.95163</v>
      </c>
    </row>
    <row r="973" spans="1:10" x14ac:dyDescent="0.25">
      <c r="A973" s="61" t="s">
        <v>952</v>
      </c>
      <c r="B973" s="61" t="s">
        <v>218</v>
      </c>
      <c r="C973" s="62">
        <v>12552</v>
      </c>
      <c r="D973" s="62">
        <v>17295</v>
      </c>
      <c r="E973" s="62">
        <v>17295</v>
      </c>
      <c r="F973" s="62">
        <v>12993.84</v>
      </c>
      <c r="G973" s="63">
        <v>17295</v>
      </c>
      <c r="H973" s="63">
        <v>17295</v>
      </c>
    </row>
    <row r="974" spans="1:10" x14ac:dyDescent="0.25">
      <c r="A974" s="61" t="s">
        <v>953</v>
      </c>
      <c r="B974" s="61" t="s">
        <v>218</v>
      </c>
      <c r="C974" s="62">
        <v>37638</v>
      </c>
      <c r="D974" s="62">
        <v>33147</v>
      </c>
      <c r="E974" s="62">
        <v>33147</v>
      </c>
      <c r="F974" s="62">
        <v>35853.800000000003</v>
      </c>
      <c r="G974" s="63">
        <v>33147</v>
      </c>
      <c r="H974" s="63">
        <v>33147</v>
      </c>
    </row>
    <row r="975" spans="1:10" x14ac:dyDescent="0.25">
      <c r="A975" s="61" t="s">
        <v>954</v>
      </c>
      <c r="B975" s="61" t="s">
        <v>249</v>
      </c>
      <c r="C975" s="62">
        <v>4456</v>
      </c>
      <c r="D975" s="62">
        <v>5270</v>
      </c>
      <c r="E975" s="62">
        <v>5270</v>
      </c>
      <c r="F975" s="62">
        <v>4365.5200000000004</v>
      </c>
      <c r="G975" s="63">
        <f>(G965+G966+G967)*0.65%</f>
        <v>1638.2288000000003</v>
      </c>
      <c r="H975" s="63">
        <f>(H965+H966+H967)*0.65%</f>
        <v>1683.4756640000003</v>
      </c>
    </row>
    <row r="976" spans="1:10" x14ac:dyDescent="0.25">
      <c r="A976" s="61" t="s">
        <v>955</v>
      </c>
      <c r="B976" s="61" t="s">
        <v>249</v>
      </c>
      <c r="C976" s="62">
        <v>696</v>
      </c>
      <c r="D976" s="62" t="s">
        <v>0</v>
      </c>
      <c r="E976" s="62" t="s">
        <v>0</v>
      </c>
      <c r="F976" s="62">
        <v>805.51</v>
      </c>
      <c r="G976" s="63">
        <f>G968*0.65%</f>
        <v>0</v>
      </c>
      <c r="H976" s="63">
        <f>H968*0.65%</f>
        <v>0</v>
      </c>
    </row>
    <row r="977" spans="1:10" x14ac:dyDescent="0.25">
      <c r="A977" s="61" t="s">
        <v>956</v>
      </c>
      <c r="B977" s="61" t="s">
        <v>249</v>
      </c>
      <c r="C977" s="62">
        <v>16196</v>
      </c>
      <c r="D977" s="62">
        <v>10950</v>
      </c>
      <c r="E977" s="62">
        <v>10950</v>
      </c>
      <c r="F977" s="62">
        <v>16407.46</v>
      </c>
      <c r="G977" s="63">
        <f>G969*0.65%</f>
        <v>551.8370000000001</v>
      </c>
      <c r="H977" s="63">
        <f>H969*0.65%</f>
        <v>568.39211000000012</v>
      </c>
    </row>
    <row r="978" spans="1:10" x14ac:dyDescent="0.25">
      <c r="A978" s="61" t="s">
        <v>957</v>
      </c>
      <c r="B978" s="61" t="s">
        <v>292</v>
      </c>
      <c r="C978" s="62">
        <v>12626</v>
      </c>
      <c r="D978" s="62">
        <v>4793</v>
      </c>
      <c r="E978" s="62">
        <v>4793</v>
      </c>
      <c r="F978" s="62">
        <v>8799.89</v>
      </c>
      <c r="G978" s="63">
        <v>4793</v>
      </c>
      <c r="H978" s="62">
        <f>G978+(G978*3%)</f>
        <v>4936.79</v>
      </c>
    </row>
    <row r="979" spans="1:10" x14ac:dyDescent="0.25">
      <c r="A979" s="61" t="s">
        <v>958</v>
      </c>
      <c r="B979" s="61" t="s">
        <v>292</v>
      </c>
      <c r="C979" s="62">
        <v>862</v>
      </c>
      <c r="D979" s="62" t="s">
        <v>0</v>
      </c>
      <c r="E979" s="62" t="s">
        <v>0</v>
      </c>
      <c r="F979" s="62">
        <v>32.369999999999997</v>
      </c>
      <c r="G979" s="63">
        <v>0</v>
      </c>
      <c r="H979" s="62">
        <f t="shared" ref="H979:H980" si="51">G979+(G979*3%)</f>
        <v>0</v>
      </c>
    </row>
    <row r="980" spans="1:10" x14ac:dyDescent="0.25">
      <c r="A980" s="61" t="s">
        <v>959</v>
      </c>
      <c r="B980" s="61" t="s">
        <v>292</v>
      </c>
      <c r="C980" s="62">
        <v>19934</v>
      </c>
      <c r="D980" s="62">
        <v>12747</v>
      </c>
      <c r="E980" s="62">
        <v>12747</v>
      </c>
      <c r="F980" s="62">
        <v>19244.79</v>
      </c>
      <c r="G980" s="63">
        <v>12747</v>
      </c>
      <c r="H980" s="62">
        <f t="shared" si="51"/>
        <v>13129.41</v>
      </c>
    </row>
    <row r="981" spans="1:10" x14ac:dyDescent="0.25">
      <c r="A981" s="61" t="s">
        <v>960</v>
      </c>
      <c r="B981" s="61" t="s">
        <v>331</v>
      </c>
      <c r="C981" s="62">
        <v>4073</v>
      </c>
      <c r="D981" s="62">
        <v>8021</v>
      </c>
      <c r="E981" s="62">
        <v>8021</v>
      </c>
      <c r="F981" s="62">
        <v>2311.89</v>
      </c>
      <c r="G981" s="63">
        <f>(G965+G966+G967)*0.75%</f>
        <v>1890.2640000000001</v>
      </c>
      <c r="H981" s="63">
        <f>(H965+H966+H967)*0.75%</f>
        <v>1942.4719200000002</v>
      </c>
    </row>
    <row r="982" spans="1:10" x14ac:dyDescent="0.25">
      <c r="A982" s="61" t="s">
        <v>961</v>
      </c>
      <c r="B982" s="61" t="s">
        <v>331</v>
      </c>
      <c r="C982" s="62">
        <v>207</v>
      </c>
      <c r="D982" s="62" t="s">
        <v>0</v>
      </c>
      <c r="E982" s="62" t="s">
        <v>0</v>
      </c>
      <c r="F982" s="62">
        <v>8.49</v>
      </c>
      <c r="G982" s="63">
        <f>G968*0.75%</f>
        <v>0</v>
      </c>
      <c r="H982" s="63">
        <f>H968*0.75%</f>
        <v>0</v>
      </c>
    </row>
    <row r="983" spans="1:10" ht="15.75" thickBot="1" x14ac:dyDescent="0.3">
      <c r="A983" s="61" t="s">
        <v>962</v>
      </c>
      <c r="B983" s="61" t="s">
        <v>331</v>
      </c>
      <c r="C983" s="65">
        <v>6704</v>
      </c>
      <c r="D983" s="65">
        <v>3344</v>
      </c>
      <c r="E983" s="65">
        <v>3344</v>
      </c>
      <c r="F983" s="65">
        <v>5879.61</v>
      </c>
      <c r="G983" s="66">
        <f>G969*0.75%</f>
        <v>636.73500000000001</v>
      </c>
      <c r="H983" s="66">
        <f>H969*0.75%</f>
        <v>655.83704999999998</v>
      </c>
    </row>
    <row r="984" spans="1:10" s="3" customFormat="1" x14ac:dyDescent="0.25">
      <c r="B984" s="3" t="s">
        <v>1274</v>
      </c>
      <c r="C984" s="6">
        <f>SUM(C965:C983)</f>
        <v>637671</v>
      </c>
      <c r="D984" s="6">
        <f t="shared" ref="D984:H984" si="52">SUM(D965:D983)</f>
        <v>490933</v>
      </c>
      <c r="E984" s="6">
        <f t="shared" si="52"/>
        <v>490933</v>
      </c>
      <c r="F984" s="6">
        <f t="shared" si="52"/>
        <v>549217.4800000001</v>
      </c>
      <c r="G984" s="8">
        <f t="shared" si="52"/>
        <v>414517.79620000004</v>
      </c>
      <c r="H984" s="8">
        <f t="shared" si="52"/>
        <v>424822.97008599999</v>
      </c>
      <c r="J984"/>
    </row>
    <row r="985" spans="1:10" x14ac:dyDescent="0.25">
      <c r="C985" s="4"/>
      <c r="D985" s="4"/>
      <c r="E985" s="4"/>
      <c r="F985" s="4"/>
    </row>
    <row r="986" spans="1:10" x14ac:dyDescent="0.25">
      <c r="A986" s="61" t="s">
        <v>963</v>
      </c>
      <c r="B986" s="61" t="s">
        <v>380</v>
      </c>
      <c r="C986" s="62">
        <v>11707</v>
      </c>
      <c r="D986" s="62">
        <v>8500</v>
      </c>
      <c r="E986" s="62">
        <v>8500</v>
      </c>
      <c r="F986" s="62">
        <v>11584.22</v>
      </c>
      <c r="G986" s="63">
        <v>15000</v>
      </c>
      <c r="H986" s="63">
        <v>15000</v>
      </c>
    </row>
    <row r="987" spans="1:10" x14ac:dyDescent="0.25">
      <c r="A987" s="61" t="s">
        <v>964</v>
      </c>
      <c r="B987" s="61" t="s">
        <v>390</v>
      </c>
      <c r="C987" s="62">
        <v>5561</v>
      </c>
      <c r="D987" s="62">
        <v>5000</v>
      </c>
      <c r="E987" s="62">
        <v>5000</v>
      </c>
      <c r="F987" s="62">
        <v>1130.76</v>
      </c>
      <c r="G987" s="63">
        <v>5000</v>
      </c>
      <c r="H987" s="63">
        <v>5000</v>
      </c>
    </row>
    <row r="988" spans="1:10" ht="15.75" thickBot="1" x14ac:dyDescent="0.3">
      <c r="A988" s="61" t="s">
        <v>965</v>
      </c>
      <c r="B988" s="61" t="s">
        <v>395</v>
      </c>
      <c r="C988" s="65">
        <v>32459</v>
      </c>
      <c r="D988" s="65">
        <v>13000</v>
      </c>
      <c r="E988" s="65">
        <v>70106.53</v>
      </c>
      <c r="F988" s="65">
        <v>139688.06</v>
      </c>
      <c r="G988" s="66">
        <v>30000</v>
      </c>
      <c r="H988" s="66">
        <v>30000</v>
      </c>
    </row>
    <row r="989" spans="1:10" s="3" customFormat="1" x14ac:dyDescent="0.25">
      <c r="B989" s="3" t="s">
        <v>1298</v>
      </c>
      <c r="C989" s="6">
        <f>SUM(C986:C988)</f>
        <v>49727</v>
      </c>
      <c r="D989" s="6">
        <f t="shared" ref="D989:H989" si="53">SUM(D986:D988)</f>
        <v>26500</v>
      </c>
      <c r="E989" s="6">
        <f t="shared" si="53"/>
        <v>83606.53</v>
      </c>
      <c r="F989" s="6">
        <f t="shared" si="53"/>
        <v>152403.04</v>
      </c>
      <c r="G989" s="8">
        <f t="shared" si="53"/>
        <v>50000</v>
      </c>
      <c r="H989" s="8">
        <f t="shared" si="53"/>
        <v>50000</v>
      </c>
      <c r="J989"/>
    </row>
    <row r="990" spans="1:10" x14ac:dyDescent="0.25">
      <c r="C990" s="4"/>
      <c r="D990" s="4"/>
      <c r="E990" s="4"/>
      <c r="F990" s="4"/>
    </row>
    <row r="991" spans="1:10" x14ac:dyDescent="0.25">
      <c r="A991" s="61" t="s">
        <v>966</v>
      </c>
      <c r="B991" s="61" t="s">
        <v>421</v>
      </c>
      <c r="C991" s="62">
        <v>5916</v>
      </c>
      <c r="D991" s="62">
        <v>9000</v>
      </c>
      <c r="E991" s="62">
        <v>9000</v>
      </c>
      <c r="F991" s="62" t="s">
        <v>0</v>
      </c>
      <c r="G991" s="63">
        <v>9000</v>
      </c>
      <c r="H991" s="63">
        <v>9000</v>
      </c>
    </row>
    <row r="992" spans="1:10" x14ac:dyDescent="0.25">
      <c r="A992" s="61" t="s">
        <v>967</v>
      </c>
      <c r="B992" s="61" t="s">
        <v>421</v>
      </c>
      <c r="C992" s="62">
        <v>74026</v>
      </c>
      <c r="D992" s="62">
        <v>98000</v>
      </c>
      <c r="E992" s="62">
        <v>95937.84</v>
      </c>
      <c r="F992" s="62">
        <v>89532.15</v>
      </c>
      <c r="G992" s="63">
        <v>98000</v>
      </c>
      <c r="H992" s="63">
        <v>98000</v>
      </c>
    </row>
    <row r="993" spans="1:13" x14ac:dyDescent="0.25">
      <c r="A993" s="61" t="s">
        <v>968</v>
      </c>
      <c r="B993" s="61" t="s">
        <v>439</v>
      </c>
      <c r="C993" s="62">
        <v>779</v>
      </c>
      <c r="D993" s="62">
        <v>100</v>
      </c>
      <c r="E993" s="62">
        <v>100</v>
      </c>
      <c r="F993" s="62" t="s">
        <v>0</v>
      </c>
      <c r="G993" s="63">
        <v>100</v>
      </c>
      <c r="H993" s="63">
        <v>100</v>
      </c>
    </row>
    <row r="994" spans="1:13" ht="15.75" thickBot="1" x14ac:dyDescent="0.3">
      <c r="A994" s="61" t="s">
        <v>969</v>
      </c>
      <c r="B994" s="61" t="s">
        <v>439</v>
      </c>
      <c r="C994" s="65">
        <v>96015</v>
      </c>
      <c r="D994" s="65">
        <v>45000</v>
      </c>
      <c r="E994" s="65">
        <v>45000</v>
      </c>
      <c r="F994" s="65">
        <v>31623.22</v>
      </c>
      <c r="G994" s="66">
        <v>45000</v>
      </c>
      <c r="H994" s="66">
        <v>45000</v>
      </c>
    </row>
    <row r="995" spans="1:13" s="3" customFormat="1" x14ac:dyDescent="0.25">
      <c r="B995" s="3" t="s">
        <v>1320</v>
      </c>
      <c r="C995" s="6">
        <f>SUM(C991:C994)</f>
        <v>176736</v>
      </c>
      <c r="D995" s="6">
        <f t="shared" ref="D995:H995" si="54">SUM(D991:D994)</f>
        <v>152100</v>
      </c>
      <c r="E995" s="6">
        <f t="shared" si="54"/>
        <v>150037.84</v>
      </c>
      <c r="F995" s="6">
        <f t="shared" si="54"/>
        <v>121155.37</v>
      </c>
      <c r="G995" s="8">
        <f t="shared" si="54"/>
        <v>152100</v>
      </c>
      <c r="H995" s="8">
        <f t="shared" si="54"/>
        <v>152100</v>
      </c>
      <c r="J995"/>
    </row>
    <row r="996" spans="1:13" x14ac:dyDescent="0.25">
      <c r="C996" s="4"/>
      <c r="D996" s="4"/>
      <c r="E996" s="4"/>
      <c r="F996" s="4"/>
    </row>
    <row r="997" spans="1:13" x14ac:dyDescent="0.25">
      <c r="A997" s="61" t="s">
        <v>970</v>
      </c>
      <c r="B997" s="61" t="s">
        <v>525</v>
      </c>
      <c r="C997" s="62">
        <v>831</v>
      </c>
      <c r="D997" s="62">
        <v>880</v>
      </c>
      <c r="E997" s="62">
        <v>542.09</v>
      </c>
      <c r="F997" s="62">
        <v>542.9</v>
      </c>
      <c r="G997" s="63">
        <v>880</v>
      </c>
      <c r="H997" s="63">
        <v>880</v>
      </c>
    </row>
    <row r="998" spans="1:13" ht="15.75" thickBot="1" x14ac:dyDescent="0.3">
      <c r="A998" s="61" t="s">
        <v>971</v>
      </c>
      <c r="B998" s="61" t="s">
        <v>972</v>
      </c>
      <c r="C998" s="65">
        <v>28368</v>
      </c>
      <c r="D998" s="65">
        <v>34000</v>
      </c>
      <c r="E998" s="65">
        <v>34469.17</v>
      </c>
      <c r="F998" s="65">
        <v>34469.17</v>
      </c>
      <c r="G998" s="66">
        <v>35000</v>
      </c>
      <c r="H998" s="66">
        <v>35000</v>
      </c>
    </row>
    <row r="999" spans="1:13" s="3" customFormat="1" x14ac:dyDescent="0.25">
      <c r="B999" s="3" t="s">
        <v>1359</v>
      </c>
      <c r="C999" s="6">
        <f>SUM(C997:C998)</f>
        <v>29199</v>
      </c>
      <c r="D999" s="6">
        <f t="shared" ref="D999:H999" si="55">SUM(D997:D998)</f>
        <v>34880</v>
      </c>
      <c r="E999" s="6">
        <f t="shared" si="55"/>
        <v>35011.259999999995</v>
      </c>
      <c r="F999" s="6">
        <f t="shared" si="55"/>
        <v>35012.07</v>
      </c>
      <c r="G999" s="8">
        <f t="shared" si="55"/>
        <v>35880</v>
      </c>
      <c r="H999" s="8">
        <f t="shared" si="55"/>
        <v>35880</v>
      </c>
      <c r="J999"/>
    </row>
    <row r="1000" spans="1:13" x14ac:dyDescent="0.25">
      <c r="C1000" s="4"/>
      <c r="D1000" s="4"/>
      <c r="E1000" s="4"/>
      <c r="F1000" s="4"/>
    </row>
    <row r="1001" spans="1:13" ht="15.75" thickBot="1" x14ac:dyDescent="0.3">
      <c r="A1001" s="61" t="s">
        <v>973</v>
      </c>
      <c r="B1001" s="61" t="s">
        <v>974</v>
      </c>
      <c r="C1001" s="65">
        <v>19372</v>
      </c>
      <c r="D1001" s="65">
        <v>75000</v>
      </c>
      <c r="E1001" s="65">
        <v>17986.46</v>
      </c>
      <c r="F1001" s="65">
        <v>17986.46</v>
      </c>
      <c r="G1001" s="66">
        <v>75000</v>
      </c>
      <c r="H1001" s="66">
        <v>75000</v>
      </c>
    </row>
    <row r="1002" spans="1:13" s="3" customFormat="1" x14ac:dyDescent="0.25">
      <c r="B1002" s="3" t="s">
        <v>1386</v>
      </c>
      <c r="C1002" s="6">
        <f>SUM(C1001)</f>
        <v>19372</v>
      </c>
      <c r="D1002" s="6">
        <f t="shared" ref="D1002:H1002" si="56">SUM(D1001)</f>
        <v>75000</v>
      </c>
      <c r="E1002" s="6">
        <f t="shared" si="56"/>
        <v>17986.46</v>
      </c>
      <c r="F1002" s="6">
        <f t="shared" si="56"/>
        <v>17986.46</v>
      </c>
      <c r="G1002" s="8">
        <f t="shared" si="56"/>
        <v>75000</v>
      </c>
      <c r="H1002" s="8">
        <f t="shared" si="56"/>
        <v>75000</v>
      </c>
      <c r="J1002"/>
    </row>
    <row r="1003" spans="1:13" x14ac:dyDescent="0.25">
      <c r="C1003" s="4"/>
      <c r="D1003" s="4"/>
      <c r="E1003" s="4"/>
      <c r="F1003" s="4"/>
    </row>
    <row r="1004" spans="1:13" s="3" customFormat="1" x14ac:dyDescent="0.25">
      <c r="A1004" s="3" t="s">
        <v>975</v>
      </c>
      <c r="B1004" s="3" t="s">
        <v>1387</v>
      </c>
      <c r="C1004" s="6">
        <v>912705</v>
      </c>
      <c r="D1004" s="6">
        <v>779413</v>
      </c>
      <c r="E1004" s="6">
        <v>777575.09</v>
      </c>
      <c r="F1004" s="6">
        <v>875774.42</v>
      </c>
      <c r="G1004" s="14">
        <f>G1002+G999+G995+G989+G984</f>
        <v>727497.79619999998</v>
      </c>
      <c r="H1004" s="14">
        <f>H1002+H999+H995+H989+H984</f>
        <v>737802.97008599993</v>
      </c>
      <c r="J1004"/>
    </row>
    <row r="1005" spans="1:13" x14ac:dyDescent="0.25">
      <c r="C1005" s="4"/>
      <c r="D1005" s="4"/>
      <c r="E1005" s="4"/>
      <c r="F1005" s="4"/>
    </row>
    <row r="1006" spans="1:13" x14ac:dyDescent="0.25">
      <c r="A1006" s="61" t="s">
        <v>976</v>
      </c>
      <c r="B1006" s="61" t="s">
        <v>72</v>
      </c>
      <c r="C1006" s="62">
        <v>309457</v>
      </c>
      <c r="D1006" s="62">
        <v>224777</v>
      </c>
      <c r="E1006" s="62">
        <v>224777</v>
      </c>
      <c r="F1006" s="62">
        <v>273447.45</v>
      </c>
      <c r="G1006" s="63">
        <f>38725+217000</f>
        <v>255725</v>
      </c>
      <c r="H1006" s="62">
        <f>39886.75+217000</f>
        <v>256886.75</v>
      </c>
      <c r="L1006" s="78" t="s">
        <v>1555</v>
      </c>
      <c r="M1006" s="50">
        <f>217000</f>
        <v>217000</v>
      </c>
    </row>
    <row r="1007" spans="1:13" x14ac:dyDescent="0.25">
      <c r="A1007" s="61" t="s">
        <v>977</v>
      </c>
      <c r="B1007" s="61" t="s">
        <v>72</v>
      </c>
      <c r="C1007" s="62">
        <v>84654</v>
      </c>
      <c r="D1007" s="62">
        <v>47250</v>
      </c>
      <c r="E1007" s="62">
        <v>47250</v>
      </c>
      <c r="F1007" s="62">
        <v>46288.03</v>
      </c>
      <c r="G1007" s="63">
        <f>44500</f>
        <v>44500</v>
      </c>
      <c r="H1007" s="62">
        <f>G1007</f>
        <v>44500</v>
      </c>
      <c r="I1007" s="1" t="s">
        <v>1558</v>
      </c>
      <c r="M1007" s="50">
        <v>44500</v>
      </c>
    </row>
    <row r="1008" spans="1:13" x14ac:dyDescent="0.25">
      <c r="A1008" s="61" t="s">
        <v>978</v>
      </c>
      <c r="B1008" s="61" t="s">
        <v>72</v>
      </c>
      <c r="C1008" s="62">
        <v>6346</v>
      </c>
      <c r="D1008" s="62">
        <v>4936</v>
      </c>
      <c r="E1008" s="62">
        <v>4936</v>
      </c>
      <c r="F1008" s="62">
        <v>6612.51</v>
      </c>
      <c r="G1008" s="63">
        <v>4900</v>
      </c>
      <c r="H1008" s="62">
        <v>4900</v>
      </c>
      <c r="I1008" s="1" t="s">
        <v>1558</v>
      </c>
    </row>
    <row r="1009" spans="1:8" x14ac:dyDescent="0.25">
      <c r="A1009" s="75" t="s">
        <v>979</v>
      </c>
      <c r="B1009" s="75" t="s">
        <v>109</v>
      </c>
      <c r="C1009" s="63">
        <v>13894</v>
      </c>
      <c r="D1009" s="63">
        <v>20000</v>
      </c>
      <c r="E1009" s="63">
        <v>20000</v>
      </c>
      <c r="F1009" s="63">
        <v>10871.64</v>
      </c>
      <c r="G1009" s="63">
        <v>15000</v>
      </c>
      <c r="H1009" s="63">
        <v>15000</v>
      </c>
    </row>
    <row r="1010" spans="1:8" x14ac:dyDescent="0.25">
      <c r="A1010" s="61" t="s">
        <v>980</v>
      </c>
      <c r="B1010" s="61" t="s">
        <v>141</v>
      </c>
      <c r="C1010" s="62">
        <v>29672</v>
      </c>
      <c r="D1010" s="62">
        <v>29431</v>
      </c>
      <c r="E1010" s="62">
        <v>29431</v>
      </c>
      <c r="F1010" s="62">
        <v>26968.87</v>
      </c>
      <c r="G1010" s="63">
        <f>29430.72</f>
        <v>29430.720000000001</v>
      </c>
      <c r="H1010" s="62">
        <f>G1010+(G1010*3%)</f>
        <v>30313.641600000003</v>
      </c>
    </row>
    <row r="1011" spans="1:8" x14ac:dyDescent="0.25">
      <c r="A1011" s="61" t="s">
        <v>981</v>
      </c>
      <c r="B1011" s="61" t="s">
        <v>160</v>
      </c>
      <c r="C1011" s="62">
        <v>914</v>
      </c>
      <c r="D1011" s="62">
        <v>900</v>
      </c>
      <c r="E1011" s="62">
        <v>900</v>
      </c>
      <c r="F1011" s="62" t="s">
        <v>0</v>
      </c>
      <c r="G1011" s="63">
        <v>0</v>
      </c>
      <c r="H1011" s="63">
        <v>0</v>
      </c>
    </row>
    <row r="1012" spans="1:8" x14ac:dyDescent="0.25">
      <c r="A1012" s="61" t="s">
        <v>982</v>
      </c>
      <c r="B1012" s="61" t="s">
        <v>172</v>
      </c>
      <c r="C1012" s="62">
        <v>13</v>
      </c>
      <c r="D1012" s="62">
        <v>13</v>
      </c>
      <c r="E1012" s="62">
        <v>13</v>
      </c>
      <c r="F1012" s="62" t="s">
        <v>0</v>
      </c>
      <c r="G1012" s="63">
        <f>G1011*1.45%</f>
        <v>0</v>
      </c>
      <c r="H1012" s="63">
        <f>H1011*1.45%</f>
        <v>0</v>
      </c>
    </row>
    <row r="1013" spans="1:8" x14ac:dyDescent="0.25">
      <c r="A1013" s="61" t="s">
        <v>983</v>
      </c>
      <c r="B1013" s="61" t="s">
        <v>172</v>
      </c>
      <c r="C1013" s="62">
        <v>4937</v>
      </c>
      <c r="D1013" s="62">
        <v>3784</v>
      </c>
      <c r="E1013" s="62">
        <v>3784</v>
      </c>
      <c r="F1013" s="62">
        <v>4319.51</v>
      </c>
      <c r="G1013" s="63">
        <f>(G1006+G1009+G1010)*1.45%</f>
        <v>4352.2579399999995</v>
      </c>
      <c r="H1013" s="63">
        <f>(H1006+H1009+H1010)*1.45%</f>
        <v>4381.9056781999989</v>
      </c>
    </row>
    <row r="1014" spans="1:8" x14ac:dyDescent="0.25">
      <c r="A1014" s="61" t="s">
        <v>984</v>
      </c>
      <c r="B1014" s="61" t="s">
        <v>172</v>
      </c>
      <c r="C1014" s="62">
        <v>1200</v>
      </c>
      <c r="D1014" s="62">
        <v>835</v>
      </c>
      <c r="E1014" s="62">
        <v>835</v>
      </c>
      <c r="F1014" s="62">
        <v>656.89</v>
      </c>
      <c r="G1014" s="63">
        <f>G1007*1.45%</f>
        <v>645.25</v>
      </c>
      <c r="H1014" s="63">
        <f>H1007*1.45%</f>
        <v>645.25</v>
      </c>
    </row>
    <row r="1015" spans="1:8" x14ac:dyDescent="0.25">
      <c r="A1015" s="61" t="s">
        <v>985</v>
      </c>
      <c r="B1015" s="61" t="s">
        <v>172</v>
      </c>
      <c r="C1015" s="62">
        <v>87</v>
      </c>
      <c r="D1015" s="62">
        <v>99</v>
      </c>
      <c r="E1015" s="62">
        <v>99</v>
      </c>
      <c r="F1015" s="62">
        <v>89.61</v>
      </c>
      <c r="G1015" s="63">
        <f>G1008*1.45%</f>
        <v>71.05</v>
      </c>
      <c r="H1015" s="63">
        <f>H1008*1.45%</f>
        <v>71.05</v>
      </c>
    </row>
    <row r="1016" spans="1:8" x14ac:dyDescent="0.25">
      <c r="A1016" s="61" t="s">
        <v>986</v>
      </c>
      <c r="B1016" s="61" t="s">
        <v>218</v>
      </c>
      <c r="C1016" s="62">
        <v>6963</v>
      </c>
      <c r="D1016" s="62">
        <v>8636</v>
      </c>
      <c r="E1016" s="62">
        <v>8636</v>
      </c>
      <c r="F1016" s="62">
        <v>7459.26</v>
      </c>
      <c r="G1016" s="63">
        <v>8636</v>
      </c>
      <c r="H1016" s="63">
        <v>8636</v>
      </c>
    </row>
    <row r="1017" spans="1:8" x14ac:dyDescent="0.25">
      <c r="A1017" s="61" t="s">
        <v>987</v>
      </c>
      <c r="B1017" s="61" t="s">
        <v>218</v>
      </c>
      <c r="C1017" s="62">
        <v>32</v>
      </c>
      <c r="D1017" s="62">
        <v>498</v>
      </c>
      <c r="E1017" s="62">
        <v>498</v>
      </c>
      <c r="F1017" s="62">
        <v>365.83</v>
      </c>
      <c r="G1017" s="63">
        <v>498</v>
      </c>
      <c r="H1017" s="63">
        <v>498</v>
      </c>
    </row>
    <row r="1018" spans="1:8" x14ac:dyDescent="0.25">
      <c r="A1018" s="61" t="s">
        <v>988</v>
      </c>
      <c r="B1018" s="61" t="s">
        <v>218</v>
      </c>
      <c r="C1018" s="62" t="s">
        <v>0</v>
      </c>
      <c r="D1018" s="62">
        <v>2</v>
      </c>
      <c r="E1018" s="62">
        <v>2</v>
      </c>
      <c r="F1018" s="62" t="s">
        <v>0</v>
      </c>
      <c r="G1018" s="63">
        <v>2</v>
      </c>
      <c r="H1018" s="63">
        <v>2</v>
      </c>
    </row>
    <row r="1019" spans="1:8" x14ac:dyDescent="0.25">
      <c r="A1019" s="61" t="s">
        <v>989</v>
      </c>
      <c r="B1019" s="61" t="s">
        <v>249</v>
      </c>
      <c r="C1019" s="62">
        <v>3920</v>
      </c>
      <c r="D1019" s="62">
        <v>3323</v>
      </c>
      <c r="E1019" s="62">
        <v>3323</v>
      </c>
      <c r="F1019" s="62">
        <v>3517.28</v>
      </c>
      <c r="G1019" s="63">
        <f>(G1006+G1009+G1010)*0.65%</f>
        <v>1951.0121799999999</v>
      </c>
      <c r="H1019" s="63">
        <f>(H1006+H1009+H1010)*0.65%</f>
        <v>1964.3025454000001</v>
      </c>
    </row>
    <row r="1020" spans="1:8" x14ac:dyDescent="0.25">
      <c r="A1020" s="61" t="s">
        <v>990</v>
      </c>
      <c r="B1020" s="61" t="s">
        <v>249</v>
      </c>
      <c r="C1020" s="62">
        <v>543</v>
      </c>
      <c r="D1020" s="62">
        <v>371</v>
      </c>
      <c r="E1020" s="62">
        <v>371</v>
      </c>
      <c r="F1020" s="62">
        <v>286.93</v>
      </c>
      <c r="G1020" s="63">
        <f>G1007*0.65%</f>
        <v>289.25</v>
      </c>
      <c r="H1020" s="63">
        <f>H1007*0.65%</f>
        <v>289.25</v>
      </c>
    </row>
    <row r="1021" spans="1:8" x14ac:dyDescent="0.25">
      <c r="A1021" s="61" t="s">
        <v>991</v>
      </c>
      <c r="B1021" s="61" t="s">
        <v>249</v>
      </c>
      <c r="C1021" s="62">
        <v>41</v>
      </c>
      <c r="D1021" s="62">
        <v>43</v>
      </c>
      <c r="E1021" s="62">
        <v>43</v>
      </c>
      <c r="F1021" s="62">
        <v>42.5</v>
      </c>
      <c r="G1021" s="63">
        <f>G1008*0.65%</f>
        <v>31.85</v>
      </c>
      <c r="H1021" s="63">
        <f>H1008*0.65%</f>
        <v>31.85</v>
      </c>
    </row>
    <row r="1022" spans="1:8" x14ac:dyDescent="0.25">
      <c r="A1022" s="61" t="s">
        <v>992</v>
      </c>
      <c r="B1022" s="61" t="s">
        <v>292</v>
      </c>
      <c r="C1022" s="62">
        <v>20553</v>
      </c>
      <c r="D1022" s="62">
        <v>14692</v>
      </c>
      <c r="E1022" s="62">
        <v>14692</v>
      </c>
      <c r="F1022" s="62">
        <v>17301.61</v>
      </c>
      <c r="G1022" s="63">
        <v>14692</v>
      </c>
      <c r="H1022" s="62">
        <f>G1022+(G1022*3%)</f>
        <v>15132.76</v>
      </c>
    </row>
    <row r="1023" spans="1:8" x14ac:dyDescent="0.25">
      <c r="A1023" s="61" t="s">
        <v>993</v>
      </c>
      <c r="B1023" s="61" t="s">
        <v>292</v>
      </c>
      <c r="C1023" s="62">
        <v>4896</v>
      </c>
      <c r="D1023" s="62">
        <v>3312</v>
      </c>
      <c r="E1023" s="62">
        <v>3312</v>
      </c>
      <c r="F1023" s="62">
        <v>2561.21</v>
      </c>
      <c r="G1023" s="63">
        <v>3312</v>
      </c>
      <c r="H1023" s="62">
        <f t="shared" ref="H1023:H1024" si="57">G1023+(G1023*3%)</f>
        <v>3411.36</v>
      </c>
    </row>
    <row r="1024" spans="1:8" x14ac:dyDescent="0.25">
      <c r="A1024" s="61" t="s">
        <v>994</v>
      </c>
      <c r="B1024" s="61" t="s">
        <v>292</v>
      </c>
      <c r="C1024" s="62">
        <v>422</v>
      </c>
      <c r="D1024" s="62">
        <v>438</v>
      </c>
      <c r="E1024" s="62">
        <v>438</v>
      </c>
      <c r="F1024" s="62">
        <v>388.4</v>
      </c>
      <c r="G1024" s="63">
        <v>438</v>
      </c>
      <c r="H1024" s="62">
        <f t="shared" si="57"/>
        <v>451.14</v>
      </c>
    </row>
    <row r="1025" spans="1:10" x14ac:dyDescent="0.25">
      <c r="A1025" s="61" t="s">
        <v>995</v>
      </c>
      <c r="B1025" s="61" t="s">
        <v>331</v>
      </c>
      <c r="C1025" s="62" t="s">
        <v>0</v>
      </c>
      <c r="D1025" s="62">
        <v>14</v>
      </c>
      <c r="E1025" s="62">
        <v>14</v>
      </c>
      <c r="F1025" s="62" t="s">
        <v>0</v>
      </c>
      <c r="G1025" s="63">
        <f>G1011*0.75%</f>
        <v>0</v>
      </c>
      <c r="H1025" s="63">
        <f>H1011*0.75%</f>
        <v>0</v>
      </c>
    </row>
    <row r="1026" spans="1:10" x14ac:dyDescent="0.25">
      <c r="A1026" s="61" t="s">
        <v>996</v>
      </c>
      <c r="B1026" s="61" t="s">
        <v>331</v>
      </c>
      <c r="C1026" s="62">
        <v>12809</v>
      </c>
      <c r="D1026" s="62">
        <v>11577</v>
      </c>
      <c r="E1026" s="62">
        <v>11577</v>
      </c>
      <c r="F1026" s="62">
        <v>11958.55</v>
      </c>
      <c r="G1026" s="63">
        <f>(G1006+G1009+G1010)*0.75%</f>
        <v>2251.1678999999999</v>
      </c>
      <c r="H1026" s="63">
        <f>(H1006+H1009+H1010)*0.75%</f>
        <v>2266.5029369999997</v>
      </c>
    </row>
    <row r="1027" spans="1:10" x14ac:dyDescent="0.25">
      <c r="A1027" s="61" t="s">
        <v>997</v>
      </c>
      <c r="B1027" s="61" t="s">
        <v>331</v>
      </c>
      <c r="C1027" s="62">
        <v>3209</v>
      </c>
      <c r="D1027" s="62">
        <v>2394</v>
      </c>
      <c r="E1027" s="62">
        <v>2394</v>
      </c>
      <c r="F1027" s="62">
        <v>1785.02</v>
      </c>
      <c r="G1027" s="63">
        <f>G1007*0.75%</f>
        <v>333.75</v>
      </c>
      <c r="H1027" s="63">
        <f>H1007*0.75%</f>
        <v>333.75</v>
      </c>
    </row>
    <row r="1028" spans="1:10" ht="15.75" thickBot="1" x14ac:dyDescent="0.3">
      <c r="A1028" s="61" t="s">
        <v>998</v>
      </c>
      <c r="B1028" s="61" t="s">
        <v>331</v>
      </c>
      <c r="C1028" s="65">
        <v>191</v>
      </c>
      <c r="D1028" s="65">
        <v>256</v>
      </c>
      <c r="E1028" s="65">
        <v>256</v>
      </c>
      <c r="F1028" s="65">
        <v>243.15</v>
      </c>
      <c r="G1028" s="66">
        <f>G1008*0.75%</f>
        <v>36.75</v>
      </c>
      <c r="H1028" s="66">
        <f>H1008*0.75%</f>
        <v>36.75</v>
      </c>
    </row>
    <row r="1029" spans="1:10" s="3" customFormat="1" x14ac:dyDescent="0.25">
      <c r="B1029" s="3" t="s">
        <v>1274</v>
      </c>
      <c r="C1029" s="6">
        <f>SUM(C1006:C1028)</f>
        <v>504753</v>
      </c>
      <c r="D1029" s="6">
        <f t="shared" ref="D1029:H1029" si="58">SUM(D1006:D1028)</f>
        <v>377581</v>
      </c>
      <c r="E1029" s="6">
        <f t="shared" si="58"/>
        <v>377581</v>
      </c>
      <c r="F1029" s="6">
        <f t="shared" si="58"/>
        <v>415164.25000000012</v>
      </c>
      <c r="G1029" s="8">
        <f t="shared" si="58"/>
        <v>387096.05801999994</v>
      </c>
      <c r="H1029" s="8">
        <f t="shared" si="58"/>
        <v>389752.26276059996</v>
      </c>
      <c r="J1029"/>
    </row>
    <row r="1030" spans="1:10" x14ac:dyDescent="0.25">
      <c r="C1030" s="4"/>
      <c r="D1030" s="4"/>
      <c r="E1030" s="4"/>
      <c r="F1030" s="4"/>
    </row>
    <row r="1031" spans="1:10" x14ac:dyDescent="0.25">
      <c r="A1031" s="61" t="s">
        <v>999</v>
      </c>
      <c r="B1031" s="61" t="s">
        <v>380</v>
      </c>
      <c r="C1031" s="62">
        <v>36375</v>
      </c>
      <c r="D1031" s="62">
        <v>27667</v>
      </c>
      <c r="E1031" s="62">
        <v>31324</v>
      </c>
      <c r="F1031" s="62">
        <v>37819.49</v>
      </c>
      <c r="G1031" s="63">
        <v>40000</v>
      </c>
      <c r="H1031" s="63">
        <v>40000</v>
      </c>
    </row>
    <row r="1032" spans="1:10" x14ac:dyDescent="0.25">
      <c r="A1032" s="61" t="s">
        <v>1000</v>
      </c>
      <c r="B1032" s="61" t="s">
        <v>1388</v>
      </c>
      <c r="C1032" s="62">
        <v>23445</v>
      </c>
      <c r="D1032" s="62">
        <v>12000</v>
      </c>
      <c r="E1032" s="62">
        <v>12000</v>
      </c>
      <c r="F1032" s="62">
        <v>675</v>
      </c>
      <c r="G1032" s="63">
        <v>10000</v>
      </c>
      <c r="H1032" s="63">
        <v>10000</v>
      </c>
    </row>
    <row r="1033" spans="1:10" x14ac:dyDescent="0.25">
      <c r="A1033" s="61" t="s">
        <v>1001</v>
      </c>
      <c r="B1033" s="61" t="s">
        <v>1389</v>
      </c>
      <c r="C1033" s="62">
        <v>135</v>
      </c>
      <c r="D1033" s="62">
        <v>200</v>
      </c>
      <c r="E1033" s="62">
        <v>200</v>
      </c>
      <c r="F1033" s="62" t="s">
        <v>0</v>
      </c>
      <c r="G1033" s="63">
        <v>200</v>
      </c>
      <c r="H1033" s="63">
        <v>200</v>
      </c>
    </row>
    <row r="1034" spans="1:10" x14ac:dyDescent="0.25">
      <c r="A1034" s="61" t="s">
        <v>1002</v>
      </c>
      <c r="B1034" s="61" t="s">
        <v>1390</v>
      </c>
      <c r="C1034" s="62">
        <v>255</v>
      </c>
      <c r="D1034" s="62" t="s">
        <v>0</v>
      </c>
      <c r="E1034" s="62" t="s">
        <v>0</v>
      </c>
      <c r="F1034" s="62">
        <v>16424.02</v>
      </c>
      <c r="G1034" s="63">
        <v>0</v>
      </c>
      <c r="H1034" s="63">
        <v>0</v>
      </c>
    </row>
    <row r="1035" spans="1:10" x14ac:dyDescent="0.25">
      <c r="A1035" s="61" t="s">
        <v>1003</v>
      </c>
      <c r="B1035" s="61" t="s">
        <v>1391</v>
      </c>
      <c r="C1035" s="62">
        <v>1441</v>
      </c>
      <c r="D1035" s="62">
        <v>2000</v>
      </c>
      <c r="E1035" s="62">
        <v>2000</v>
      </c>
      <c r="F1035" s="62">
        <v>1030</v>
      </c>
      <c r="G1035" s="63">
        <v>1000</v>
      </c>
      <c r="H1035" s="63">
        <v>1000</v>
      </c>
    </row>
    <row r="1036" spans="1:10" x14ac:dyDescent="0.25">
      <c r="A1036" s="61" t="s">
        <v>1004</v>
      </c>
      <c r="B1036" s="61" t="s">
        <v>1391</v>
      </c>
      <c r="C1036" s="62">
        <v>706</v>
      </c>
      <c r="D1036" s="62">
        <v>528</v>
      </c>
      <c r="E1036" s="62">
        <v>528</v>
      </c>
      <c r="F1036" s="62" t="s">
        <v>0</v>
      </c>
      <c r="G1036" s="63">
        <v>328</v>
      </c>
      <c r="H1036" s="63">
        <v>328</v>
      </c>
    </row>
    <row r="1037" spans="1:10" x14ac:dyDescent="0.25">
      <c r="A1037" s="61" t="s">
        <v>1005</v>
      </c>
      <c r="B1037" s="61" t="s">
        <v>1392</v>
      </c>
      <c r="C1037" s="62">
        <v>5172</v>
      </c>
      <c r="D1037" s="62">
        <v>9000</v>
      </c>
      <c r="E1037" s="62">
        <v>9000</v>
      </c>
      <c r="F1037" s="62">
        <v>5740</v>
      </c>
      <c r="G1037" s="63">
        <v>7000</v>
      </c>
      <c r="H1037" s="63">
        <v>7000</v>
      </c>
    </row>
    <row r="1038" spans="1:10" x14ac:dyDescent="0.25">
      <c r="A1038" s="61" t="s">
        <v>1006</v>
      </c>
      <c r="B1038" s="61" t="s">
        <v>395</v>
      </c>
      <c r="C1038" s="62">
        <v>14508</v>
      </c>
      <c r="D1038" s="62">
        <v>13000</v>
      </c>
      <c r="E1038" s="62">
        <v>22879</v>
      </c>
      <c r="F1038" s="62">
        <v>8563.3799999999992</v>
      </c>
      <c r="G1038" s="63">
        <v>12000</v>
      </c>
      <c r="H1038" s="63">
        <v>12000</v>
      </c>
    </row>
    <row r="1039" spans="1:10" x14ac:dyDescent="0.25">
      <c r="A1039" s="61" t="s">
        <v>1007</v>
      </c>
      <c r="B1039" s="61" t="s">
        <v>414</v>
      </c>
      <c r="C1039" s="62">
        <v>5968</v>
      </c>
      <c r="D1039" s="62">
        <v>5000</v>
      </c>
      <c r="E1039" s="62">
        <v>5000</v>
      </c>
      <c r="F1039" s="62">
        <v>4340.08</v>
      </c>
      <c r="G1039" s="63">
        <v>5000</v>
      </c>
      <c r="H1039" s="63">
        <v>5000</v>
      </c>
    </row>
    <row r="1040" spans="1:10" ht="15.75" thickBot="1" x14ac:dyDescent="0.3">
      <c r="A1040" s="61" t="s">
        <v>1008</v>
      </c>
      <c r="B1040" s="61" t="s">
        <v>1009</v>
      </c>
      <c r="C1040" s="65">
        <v>9200</v>
      </c>
      <c r="D1040" s="65">
        <v>10000</v>
      </c>
      <c r="E1040" s="65">
        <v>8900</v>
      </c>
      <c r="F1040" s="65">
        <v>8900</v>
      </c>
      <c r="G1040" s="66">
        <v>9000</v>
      </c>
      <c r="H1040" s="66">
        <v>9000</v>
      </c>
    </row>
    <row r="1041" spans="1:10" s="3" customFormat="1" x14ac:dyDescent="0.25">
      <c r="B1041" s="3" t="s">
        <v>1298</v>
      </c>
      <c r="C1041" s="6">
        <f>SUM(C1031:C1040)</f>
        <v>97205</v>
      </c>
      <c r="D1041" s="6">
        <f t="shared" ref="D1041:H1041" si="59">SUM(D1031:D1040)</f>
        <v>79395</v>
      </c>
      <c r="E1041" s="6">
        <f t="shared" si="59"/>
        <v>91831</v>
      </c>
      <c r="F1041" s="6">
        <f t="shared" si="59"/>
        <v>83491.97</v>
      </c>
      <c r="G1041" s="8">
        <f t="shared" si="59"/>
        <v>84528</v>
      </c>
      <c r="H1041" s="8">
        <f t="shared" si="59"/>
        <v>84528</v>
      </c>
      <c r="J1041"/>
    </row>
    <row r="1042" spans="1:10" x14ac:dyDescent="0.25">
      <c r="C1042" s="4"/>
      <c r="D1042" s="4"/>
      <c r="E1042" s="4"/>
      <c r="F1042" s="4"/>
    </row>
    <row r="1043" spans="1:10" x14ac:dyDescent="0.25">
      <c r="A1043" s="61" t="s">
        <v>1010</v>
      </c>
      <c r="B1043" s="61" t="s">
        <v>421</v>
      </c>
      <c r="C1043" s="62">
        <v>1500</v>
      </c>
      <c r="D1043" s="62">
        <v>7000</v>
      </c>
      <c r="E1043" s="62">
        <v>7000</v>
      </c>
      <c r="F1043" s="62">
        <v>1255.8</v>
      </c>
      <c r="G1043" s="63">
        <v>7000</v>
      </c>
      <c r="H1043" s="63">
        <v>7000</v>
      </c>
    </row>
    <row r="1044" spans="1:10" x14ac:dyDescent="0.25">
      <c r="A1044" s="61" t="s">
        <v>1011</v>
      </c>
      <c r="B1044" s="61" t="s">
        <v>421</v>
      </c>
      <c r="C1044" s="62">
        <v>2981</v>
      </c>
      <c r="D1044" s="62">
        <v>8000</v>
      </c>
      <c r="E1044" s="62">
        <v>8000</v>
      </c>
      <c r="F1044" s="62">
        <v>4002.19</v>
      </c>
      <c r="G1044" s="63">
        <v>8000</v>
      </c>
      <c r="H1044" s="63">
        <v>8000</v>
      </c>
    </row>
    <row r="1045" spans="1:10" x14ac:dyDescent="0.25">
      <c r="A1045" s="61" t="s">
        <v>1012</v>
      </c>
      <c r="B1045" s="61" t="s">
        <v>421</v>
      </c>
      <c r="C1045" s="62" t="s">
        <v>0</v>
      </c>
      <c r="D1045" s="62" t="s">
        <v>0</v>
      </c>
      <c r="E1045" s="62" t="s">
        <v>0</v>
      </c>
      <c r="F1045" s="62">
        <v>9.0500000000000007</v>
      </c>
      <c r="G1045" s="63">
        <v>3000</v>
      </c>
      <c r="H1045" s="63">
        <v>3000</v>
      </c>
    </row>
    <row r="1046" spans="1:10" x14ac:dyDescent="0.25">
      <c r="A1046" s="61" t="s">
        <v>1013</v>
      </c>
      <c r="B1046" s="61" t="s">
        <v>428</v>
      </c>
      <c r="C1046" s="62">
        <v>307</v>
      </c>
      <c r="D1046" s="62">
        <v>400</v>
      </c>
      <c r="E1046" s="62">
        <v>400</v>
      </c>
      <c r="F1046" s="62">
        <v>211.15</v>
      </c>
      <c r="G1046" s="63">
        <v>350</v>
      </c>
      <c r="H1046" s="63">
        <v>350</v>
      </c>
    </row>
    <row r="1047" spans="1:10" x14ac:dyDescent="0.25">
      <c r="A1047" s="61" t="s">
        <v>1014</v>
      </c>
      <c r="B1047" s="61" t="s">
        <v>439</v>
      </c>
      <c r="C1047" s="62">
        <v>1597</v>
      </c>
      <c r="D1047" s="62">
        <v>2000</v>
      </c>
      <c r="E1047" s="62">
        <v>1500</v>
      </c>
      <c r="F1047" s="62">
        <v>1035.95</v>
      </c>
      <c r="G1047" s="63">
        <v>1500</v>
      </c>
      <c r="H1047" s="63">
        <v>1500</v>
      </c>
    </row>
    <row r="1048" spans="1:10" x14ac:dyDescent="0.25">
      <c r="A1048" s="61" t="s">
        <v>1015</v>
      </c>
      <c r="B1048" s="61" t="s">
        <v>439</v>
      </c>
      <c r="C1048" s="62">
        <v>948</v>
      </c>
      <c r="D1048" s="62">
        <v>700</v>
      </c>
      <c r="E1048" s="62">
        <v>700</v>
      </c>
      <c r="F1048" s="62">
        <v>190.42</v>
      </c>
      <c r="G1048" s="63">
        <v>700</v>
      </c>
      <c r="H1048" s="63">
        <v>700</v>
      </c>
    </row>
    <row r="1049" spans="1:10" x14ac:dyDescent="0.25">
      <c r="A1049" s="61" t="s">
        <v>1016</v>
      </c>
      <c r="B1049" s="61" t="s">
        <v>1393</v>
      </c>
      <c r="C1049" s="62">
        <v>14014</v>
      </c>
      <c r="D1049" s="62">
        <v>13000</v>
      </c>
      <c r="E1049" s="62">
        <v>19478</v>
      </c>
      <c r="F1049" s="62">
        <v>16887.43</v>
      </c>
      <c r="G1049" s="63">
        <v>10000</v>
      </c>
      <c r="H1049" s="63">
        <v>10000</v>
      </c>
    </row>
    <row r="1050" spans="1:10" x14ac:dyDescent="0.25">
      <c r="A1050" s="61" t="s">
        <v>1017</v>
      </c>
      <c r="B1050" s="61" t="s">
        <v>1394</v>
      </c>
      <c r="C1050" s="62">
        <v>357</v>
      </c>
      <c r="D1050" s="62">
        <v>800</v>
      </c>
      <c r="E1050" s="62">
        <v>387</v>
      </c>
      <c r="F1050" s="62">
        <v>255</v>
      </c>
      <c r="G1050" s="63">
        <v>800</v>
      </c>
      <c r="H1050" s="63">
        <v>800</v>
      </c>
    </row>
    <row r="1051" spans="1:10" x14ac:dyDescent="0.25">
      <c r="A1051" s="61" t="s">
        <v>1018</v>
      </c>
      <c r="B1051" s="61" t="s">
        <v>1395</v>
      </c>
      <c r="C1051" s="62">
        <v>376</v>
      </c>
      <c r="D1051" s="62">
        <v>500</v>
      </c>
      <c r="E1051" s="62">
        <v>500</v>
      </c>
      <c r="F1051" s="62" t="s">
        <v>0</v>
      </c>
      <c r="G1051" s="63">
        <v>500</v>
      </c>
      <c r="H1051" s="63">
        <v>500</v>
      </c>
    </row>
    <row r="1052" spans="1:10" x14ac:dyDescent="0.25">
      <c r="A1052" s="61" t="s">
        <v>1019</v>
      </c>
      <c r="B1052" s="61" t="s">
        <v>1395</v>
      </c>
      <c r="C1052" s="62">
        <v>365</v>
      </c>
      <c r="D1052" s="62">
        <v>686</v>
      </c>
      <c r="E1052" s="62">
        <v>686</v>
      </c>
      <c r="F1052" s="62" t="s">
        <v>0</v>
      </c>
      <c r="G1052" s="63">
        <v>365</v>
      </c>
      <c r="H1052" s="63">
        <v>365</v>
      </c>
    </row>
    <row r="1053" spans="1:10" x14ac:dyDescent="0.25">
      <c r="A1053" s="61" t="s">
        <v>1020</v>
      </c>
      <c r="B1053" s="61" t="s">
        <v>1396</v>
      </c>
      <c r="C1053" s="62">
        <v>2861</v>
      </c>
      <c r="D1053" s="62">
        <v>1000</v>
      </c>
      <c r="E1053" s="62">
        <v>1000</v>
      </c>
      <c r="F1053" s="62" t="s">
        <v>0</v>
      </c>
      <c r="G1053" s="63">
        <v>1000</v>
      </c>
      <c r="H1053" s="63">
        <v>1000</v>
      </c>
    </row>
    <row r="1054" spans="1:10" x14ac:dyDescent="0.25">
      <c r="A1054" s="61" t="s">
        <v>1021</v>
      </c>
      <c r="B1054" s="61" t="s">
        <v>1396</v>
      </c>
      <c r="C1054" s="62">
        <v>150</v>
      </c>
      <c r="D1054" s="62">
        <v>418</v>
      </c>
      <c r="E1054" s="62">
        <v>418</v>
      </c>
      <c r="F1054" s="62">
        <v>402.5</v>
      </c>
      <c r="G1054" s="63">
        <v>150</v>
      </c>
      <c r="H1054" s="63">
        <v>150</v>
      </c>
    </row>
    <row r="1055" spans="1:10" x14ac:dyDescent="0.25">
      <c r="A1055" s="61" t="s">
        <v>1022</v>
      </c>
      <c r="B1055" s="61" t="s">
        <v>1397</v>
      </c>
      <c r="C1055" s="62">
        <v>1845</v>
      </c>
      <c r="D1055" s="62">
        <v>2000</v>
      </c>
      <c r="E1055" s="62">
        <v>2000</v>
      </c>
      <c r="F1055" s="62">
        <v>1487.5</v>
      </c>
      <c r="G1055" s="63">
        <v>0</v>
      </c>
      <c r="H1055" s="63">
        <v>0</v>
      </c>
    </row>
    <row r="1056" spans="1:10" x14ac:dyDescent="0.25">
      <c r="A1056" s="61" t="s">
        <v>1023</v>
      </c>
      <c r="B1056" s="61" t="s">
        <v>1398</v>
      </c>
      <c r="C1056" s="62">
        <v>238</v>
      </c>
      <c r="D1056" s="62">
        <v>1450</v>
      </c>
      <c r="E1056" s="62">
        <v>1450</v>
      </c>
      <c r="F1056" s="62">
        <v>175.87</v>
      </c>
      <c r="G1056" s="63">
        <v>1250</v>
      </c>
      <c r="H1056" s="63">
        <v>1250</v>
      </c>
    </row>
    <row r="1057" spans="1:8" x14ac:dyDescent="0.25">
      <c r="A1057" s="61" t="s">
        <v>1024</v>
      </c>
      <c r="B1057" s="61" t="s">
        <v>1399</v>
      </c>
      <c r="C1057" s="62" t="s">
        <v>0</v>
      </c>
      <c r="D1057" s="62">
        <v>1200</v>
      </c>
      <c r="E1057" s="62">
        <v>1200</v>
      </c>
      <c r="F1057" s="62">
        <v>891.52</v>
      </c>
      <c r="G1057" s="63">
        <v>1200</v>
      </c>
      <c r="H1057" s="63">
        <v>1200</v>
      </c>
    </row>
    <row r="1058" spans="1:8" x14ac:dyDescent="0.25">
      <c r="A1058" s="61" t="s">
        <v>1025</v>
      </c>
      <c r="B1058" s="61" t="s">
        <v>1399</v>
      </c>
      <c r="C1058" s="62">
        <v>240</v>
      </c>
      <c r="D1058" s="62">
        <v>231</v>
      </c>
      <c r="E1058" s="62">
        <v>231</v>
      </c>
      <c r="F1058" s="62" t="s">
        <v>0</v>
      </c>
      <c r="G1058" s="63">
        <v>231</v>
      </c>
      <c r="H1058" s="63">
        <v>231</v>
      </c>
    </row>
    <row r="1059" spans="1:8" x14ac:dyDescent="0.25">
      <c r="A1059" s="61" t="s">
        <v>1026</v>
      </c>
      <c r="B1059" s="61" t="s">
        <v>1400</v>
      </c>
      <c r="C1059" s="62">
        <v>2941</v>
      </c>
      <c r="D1059" s="62">
        <v>3000</v>
      </c>
      <c r="E1059" s="62">
        <v>2988</v>
      </c>
      <c r="F1059" s="62">
        <v>2988</v>
      </c>
      <c r="G1059" s="63">
        <v>3000</v>
      </c>
      <c r="H1059" s="63">
        <v>3000</v>
      </c>
    </row>
    <row r="1060" spans="1:8" x14ac:dyDescent="0.25">
      <c r="A1060" s="61" t="s">
        <v>1027</v>
      </c>
      <c r="B1060" s="61" t="s">
        <v>1401</v>
      </c>
      <c r="C1060" s="62">
        <v>9702</v>
      </c>
      <c r="D1060" s="62">
        <v>3000</v>
      </c>
      <c r="E1060" s="62">
        <v>3000</v>
      </c>
      <c r="F1060" s="62">
        <v>3000.01</v>
      </c>
      <c r="G1060" s="63">
        <v>3000</v>
      </c>
      <c r="H1060" s="63">
        <v>3000</v>
      </c>
    </row>
    <row r="1061" spans="1:8" x14ac:dyDescent="0.25">
      <c r="A1061" s="61" t="s">
        <v>1028</v>
      </c>
      <c r="B1061" s="61" t="s">
        <v>1401</v>
      </c>
      <c r="C1061" s="62">
        <v>1875</v>
      </c>
      <c r="D1061" s="62">
        <v>500</v>
      </c>
      <c r="E1061" s="62">
        <v>442</v>
      </c>
      <c r="F1061" s="62">
        <v>441.52</v>
      </c>
      <c r="G1061" s="63">
        <v>750</v>
      </c>
      <c r="H1061" s="63">
        <v>750</v>
      </c>
    </row>
    <row r="1062" spans="1:8" x14ac:dyDescent="0.25">
      <c r="A1062" s="61" t="s">
        <v>1029</v>
      </c>
      <c r="B1062" s="61" t="s">
        <v>1402</v>
      </c>
      <c r="C1062" s="62">
        <v>4417</v>
      </c>
      <c r="D1062" s="62">
        <v>3000</v>
      </c>
      <c r="E1062" s="62">
        <v>3000</v>
      </c>
      <c r="F1062" s="62">
        <v>3000</v>
      </c>
      <c r="G1062" s="63">
        <v>3000</v>
      </c>
      <c r="H1062" s="63">
        <v>3000</v>
      </c>
    </row>
    <row r="1063" spans="1:8" x14ac:dyDescent="0.25">
      <c r="A1063" s="61" t="s">
        <v>1030</v>
      </c>
      <c r="B1063" s="61" t="s">
        <v>1402</v>
      </c>
      <c r="C1063" s="62">
        <v>1743</v>
      </c>
      <c r="D1063" s="62">
        <v>500</v>
      </c>
      <c r="E1063" s="62">
        <v>500</v>
      </c>
      <c r="F1063" s="62">
        <v>500</v>
      </c>
      <c r="G1063" s="63">
        <v>750</v>
      </c>
      <c r="H1063" s="63">
        <v>750</v>
      </c>
    </row>
    <row r="1064" spans="1:8" x14ac:dyDescent="0.25">
      <c r="A1064" s="61" t="s">
        <v>1031</v>
      </c>
      <c r="B1064" s="61" t="s">
        <v>1403</v>
      </c>
      <c r="C1064" s="62">
        <v>40433</v>
      </c>
      <c r="D1064" s="62">
        <v>10000</v>
      </c>
      <c r="E1064" s="62">
        <v>12500</v>
      </c>
      <c r="F1064" s="62">
        <v>10123.24</v>
      </c>
      <c r="G1064" s="63">
        <v>10000</v>
      </c>
      <c r="H1064" s="63">
        <v>10000</v>
      </c>
    </row>
    <row r="1065" spans="1:8" x14ac:dyDescent="0.25">
      <c r="A1065" s="61" t="s">
        <v>1032</v>
      </c>
      <c r="B1065" s="61" t="s">
        <v>1403</v>
      </c>
      <c r="C1065" s="62">
        <v>5436</v>
      </c>
      <c r="D1065" s="62">
        <v>500</v>
      </c>
      <c r="E1065" s="62">
        <v>500</v>
      </c>
      <c r="F1065" s="62" t="s">
        <v>0</v>
      </c>
      <c r="G1065" s="63">
        <v>750</v>
      </c>
      <c r="H1065" s="63">
        <v>750</v>
      </c>
    </row>
    <row r="1066" spans="1:8" x14ac:dyDescent="0.25">
      <c r="A1066" s="61" t="s">
        <v>1033</v>
      </c>
      <c r="B1066" s="61" t="s">
        <v>1404</v>
      </c>
      <c r="C1066" s="62">
        <v>5000</v>
      </c>
      <c r="D1066" s="62">
        <v>3000</v>
      </c>
      <c r="E1066" s="62">
        <v>3000</v>
      </c>
      <c r="F1066" s="62">
        <v>3000</v>
      </c>
      <c r="G1066" s="63">
        <v>3000</v>
      </c>
      <c r="H1066" s="63">
        <v>3000</v>
      </c>
    </row>
    <row r="1067" spans="1:8" x14ac:dyDescent="0.25">
      <c r="A1067" s="61" t="s">
        <v>1034</v>
      </c>
      <c r="B1067" s="61" t="s">
        <v>1404</v>
      </c>
      <c r="C1067" s="62">
        <v>1971</v>
      </c>
      <c r="D1067" s="62">
        <v>500</v>
      </c>
      <c r="E1067" s="62">
        <v>500</v>
      </c>
      <c r="F1067" s="62">
        <v>500</v>
      </c>
      <c r="G1067" s="63">
        <v>750</v>
      </c>
      <c r="H1067" s="63">
        <v>750</v>
      </c>
    </row>
    <row r="1068" spans="1:8" x14ac:dyDescent="0.25">
      <c r="A1068" s="61" t="s">
        <v>1035</v>
      </c>
      <c r="B1068" s="61" t="s">
        <v>1405</v>
      </c>
      <c r="C1068" s="62">
        <v>3892</v>
      </c>
      <c r="D1068" s="62">
        <v>3000</v>
      </c>
      <c r="E1068" s="62">
        <v>3617</v>
      </c>
      <c r="F1068" s="62">
        <v>2867.11</v>
      </c>
      <c r="G1068" s="63">
        <v>3000</v>
      </c>
      <c r="H1068" s="63">
        <v>3000</v>
      </c>
    </row>
    <row r="1069" spans="1:8" x14ac:dyDescent="0.25">
      <c r="A1069" s="61" t="s">
        <v>1036</v>
      </c>
      <c r="B1069" s="61" t="s">
        <v>1405</v>
      </c>
      <c r="C1069" s="62">
        <v>446</v>
      </c>
      <c r="D1069" s="62">
        <v>500</v>
      </c>
      <c r="E1069" s="62">
        <v>380</v>
      </c>
      <c r="F1069" s="62">
        <v>380</v>
      </c>
      <c r="G1069" s="63">
        <v>750</v>
      </c>
      <c r="H1069" s="63">
        <v>750</v>
      </c>
    </row>
    <row r="1070" spans="1:8" x14ac:dyDescent="0.25">
      <c r="A1070" s="61" t="s">
        <v>1037</v>
      </c>
      <c r="B1070" s="61" t="s">
        <v>1406</v>
      </c>
      <c r="C1070" s="62">
        <v>3307</v>
      </c>
      <c r="D1070" s="62">
        <v>3000</v>
      </c>
      <c r="E1070" s="62">
        <v>2772</v>
      </c>
      <c r="F1070" s="62">
        <v>2771.19</v>
      </c>
      <c r="G1070" s="63">
        <v>3000</v>
      </c>
      <c r="H1070" s="63">
        <v>3000</v>
      </c>
    </row>
    <row r="1071" spans="1:8" x14ac:dyDescent="0.25">
      <c r="A1071" s="61" t="s">
        <v>1038</v>
      </c>
      <c r="B1071" s="61" t="s">
        <v>1406</v>
      </c>
      <c r="C1071" s="62">
        <v>1213</v>
      </c>
      <c r="D1071" s="62">
        <v>500</v>
      </c>
      <c r="E1071" s="62" t="s">
        <v>0</v>
      </c>
      <c r="F1071" s="62" t="s">
        <v>0</v>
      </c>
      <c r="G1071" s="63">
        <v>750</v>
      </c>
      <c r="H1071" s="63">
        <v>750</v>
      </c>
    </row>
    <row r="1072" spans="1:8" x14ac:dyDescent="0.25">
      <c r="A1072" s="61" t="s">
        <v>1039</v>
      </c>
      <c r="B1072" s="61" t="s">
        <v>1407</v>
      </c>
      <c r="C1072" s="62">
        <v>2794</v>
      </c>
      <c r="D1072" s="62">
        <v>3000</v>
      </c>
      <c r="E1072" s="62">
        <v>3000</v>
      </c>
      <c r="F1072" s="62">
        <v>3000</v>
      </c>
      <c r="G1072" s="63">
        <v>3000</v>
      </c>
      <c r="H1072" s="63">
        <v>3000</v>
      </c>
    </row>
    <row r="1073" spans="1:10" x14ac:dyDescent="0.25">
      <c r="A1073" s="61" t="s">
        <v>1040</v>
      </c>
      <c r="B1073" s="61" t="s">
        <v>1407</v>
      </c>
      <c r="C1073" s="62">
        <v>1213</v>
      </c>
      <c r="D1073" s="62">
        <v>500</v>
      </c>
      <c r="E1073" s="62">
        <v>456</v>
      </c>
      <c r="F1073" s="62">
        <v>455.75</v>
      </c>
      <c r="G1073" s="63">
        <v>750</v>
      </c>
      <c r="H1073" s="63">
        <v>750</v>
      </c>
    </row>
    <row r="1074" spans="1:10" x14ac:dyDescent="0.25">
      <c r="A1074" s="61" t="s">
        <v>1041</v>
      </c>
      <c r="B1074" s="61" t="s">
        <v>1408</v>
      </c>
      <c r="C1074" s="62">
        <v>6638</v>
      </c>
      <c r="D1074" s="62">
        <v>3000</v>
      </c>
      <c r="E1074" s="62">
        <v>3000</v>
      </c>
      <c r="F1074" s="62">
        <v>2000.01</v>
      </c>
      <c r="G1074" s="63">
        <v>3000</v>
      </c>
      <c r="H1074" s="63">
        <v>3000</v>
      </c>
    </row>
    <row r="1075" spans="1:10" x14ac:dyDescent="0.25">
      <c r="A1075" s="61" t="s">
        <v>1042</v>
      </c>
      <c r="B1075" s="61" t="s">
        <v>1408</v>
      </c>
      <c r="C1075" s="62">
        <v>308</v>
      </c>
      <c r="D1075" s="62">
        <v>500</v>
      </c>
      <c r="E1075" s="62">
        <v>500</v>
      </c>
      <c r="F1075" s="62">
        <v>500</v>
      </c>
      <c r="G1075" s="63">
        <v>750</v>
      </c>
      <c r="H1075" s="63">
        <v>750</v>
      </c>
    </row>
    <row r="1076" spans="1:10" x14ac:dyDescent="0.25">
      <c r="A1076" s="61" t="s">
        <v>1043</v>
      </c>
      <c r="B1076" s="61" t="s">
        <v>1409</v>
      </c>
      <c r="C1076" s="62">
        <v>7960</v>
      </c>
      <c r="D1076" s="62">
        <v>6000</v>
      </c>
      <c r="E1076" s="62">
        <v>5300</v>
      </c>
      <c r="F1076" s="62">
        <v>4772.74</v>
      </c>
      <c r="G1076" s="63">
        <v>5000</v>
      </c>
      <c r="H1076" s="63">
        <v>5000</v>
      </c>
    </row>
    <row r="1077" spans="1:10" x14ac:dyDescent="0.25">
      <c r="A1077" s="61" t="s">
        <v>1044</v>
      </c>
      <c r="B1077" s="61" t="s">
        <v>1410</v>
      </c>
      <c r="C1077" s="62">
        <v>1320</v>
      </c>
      <c r="D1077" s="62">
        <v>1000</v>
      </c>
      <c r="E1077" s="62">
        <v>1000</v>
      </c>
      <c r="F1077" s="62">
        <v>1000</v>
      </c>
      <c r="G1077" s="63">
        <v>1000</v>
      </c>
      <c r="H1077" s="63">
        <v>1000</v>
      </c>
    </row>
    <row r="1078" spans="1:10" x14ac:dyDescent="0.25">
      <c r="A1078" s="61" t="s">
        <v>1045</v>
      </c>
      <c r="B1078" s="61" t="s">
        <v>1411</v>
      </c>
      <c r="C1078" s="62">
        <v>2669</v>
      </c>
      <c r="D1078" s="62">
        <v>2000</v>
      </c>
      <c r="E1078" s="62">
        <v>1933</v>
      </c>
      <c r="F1078" s="62">
        <v>1932.08</v>
      </c>
      <c r="G1078" s="63">
        <v>2000</v>
      </c>
      <c r="H1078" s="63">
        <v>2000</v>
      </c>
    </row>
    <row r="1079" spans="1:10" x14ac:dyDescent="0.25">
      <c r="A1079" s="61" t="s">
        <v>1046</v>
      </c>
      <c r="B1079" s="61" t="s">
        <v>1412</v>
      </c>
      <c r="C1079" s="62">
        <v>4557</v>
      </c>
      <c r="D1079" s="62">
        <v>3000</v>
      </c>
      <c r="E1079" s="62">
        <v>2956</v>
      </c>
      <c r="F1079" s="62">
        <v>2955.36</v>
      </c>
      <c r="G1079" s="63">
        <v>3000</v>
      </c>
      <c r="H1079" s="63">
        <v>3000</v>
      </c>
    </row>
    <row r="1080" spans="1:10" x14ac:dyDescent="0.25">
      <c r="A1080" s="61" t="s">
        <v>1047</v>
      </c>
      <c r="B1080" s="61" t="s">
        <v>1413</v>
      </c>
      <c r="C1080" s="62" t="s">
        <v>0</v>
      </c>
      <c r="D1080" s="62">
        <v>200</v>
      </c>
      <c r="E1080" s="62">
        <v>200</v>
      </c>
      <c r="F1080" s="62" t="s">
        <v>0</v>
      </c>
      <c r="G1080" s="63">
        <v>300</v>
      </c>
      <c r="H1080" s="63">
        <v>300</v>
      </c>
    </row>
    <row r="1081" spans="1:10" ht="15.75" thickBot="1" x14ac:dyDescent="0.3">
      <c r="A1081" s="61" t="s">
        <v>1048</v>
      </c>
      <c r="B1081" s="61" t="s">
        <v>1414</v>
      </c>
      <c r="C1081" s="65" t="s">
        <v>0</v>
      </c>
      <c r="D1081" s="65">
        <v>500</v>
      </c>
      <c r="E1081" s="65">
        <v>500</v>
      </c>
      <c r="F1081" s="65" t="s">
        <v>0</v>
      </c>
      <c r="G1081" s="66">
        <v>500</v>
      </c>
      <c r="H1081" s="66">
        <v>500</v>
      </c>
    </row>
    <row r="1082" spans="1:10" s="3" customFormat="1" x14ac:dyDescent="0.25">
      <c r="B1082" s="3" t="s">
        <v>1320</v>
      </c>
      <c r="C1082" s="6">
        <f>SUM(C1043:C1081)</f>
        <v>137614</v>
      </c>
      <c r="D1082" s="6">
        <f t="shared" ref="D1082:H1082" si="60">SUM(D1043:D1081)</f>
        <v>90085</v>
      </c>
      <c r="E1082" s="6">
        <f t="shared" si="60"/>
        <v>96994</v>
      </c>
      <c r="F1082" s="6">
        <f t="shared" si="60"/>
        <v>72991.39</v>
      </c>
      <c r="G1082" s="8">
        <f t="shared" si="60"/>
        <v>87846</v>
      </c>
      <c r="H1082" s="8">
        <f t="shared" si="60"/>
        <v>87846</v>
      </c>
      <c r="J1082"/>
    </row>
    <row r="1083" spans="1:10" x14ac:dyDescent="0.25">
      <c r="C1083" s="4"/>
      <c r="D1083" s="4"/>
      <c r="E1083" s="4"/>
      <c r="F1083" s="4"/>
    </row>
    <row r="1084" spans="1:10" x14ac:dyDescent="0.25">
      <c r="A1084" s="61" t="s">
        <v>1049</v>
      </c>
      <c r="B1084" s="61" t="s">
        <v>1415</v>
      </c>
      <c r="C1084" s="62">
        <v>1646</v>
      </c>
      <c r="D1084" s="62">
        <v>2000</v>
      </c>
      <c r="E1084" s="62">
        <v>2000</v>
      </c>
      <c r="F1084" s="62">
        <v>2057.9299999999998</v>
      </c>
      <c r="G1084" s="63">
        <v>2000</v>
      </c>
      <c r="H1084" s="63">
        <v>2000</v>
      </c>
    </row>
    <row r="1085" spans="1:10" x14ac:dyDescent="0.25">
      <c r="A1085" s="61" t="s">
        <v>1050</v>
      </c>
      <c r="B1085" s="61" t="s">
        <v>1416</v>
      </c>
      <c r="C1085" s="62">
        <v>2507</v>
      </c>
      <c r="D1085" s="62">
        <v>2300</v>
      </c>
      <c r="E1085" s="62">
        <v>2300</v>
      </c>
      <c r="F1085" s="62">
        <v>1675.86</v>
      </c>
      <c r="G1085" s="63">
        <v>2000</v>
      </c>
      <c r="H1085" s="63">
        <v>2000</v>
      </c>
    </row>
    <row r="1086" spans="1:10" x14ac:dyDescent="0.25">
      <c r="A1086" s="61" t="s">
        <v>1051</v>
      </c>
      <c r="B1086" s="61" t="s">
        <v>1417</v>
      </c>
      <c r="C1086" s="62" t="s">
        <v>0</v>
      </c>
      <c r="D1086" s="62">
        <v>150</v>
      </c>
      <c r="E1086" s="62">
        <v>150</v>
      </c>
      <c r="F1086" s="62" t="s">
        <v>0</v>
      </c>
      <c r="G1086" s="63">
        <v>150</v>
      </c>
      <c r="H1086" s="63">
        <v>150</v>
      </c>
    </row>
    <row r="1087" spans="1:10" x14ac:dyDescent="0.25">
      <c r="A1087" s="61" t="s">
        <v>1052</v>
      </c>
      <c r="B1087" s="61" t="s">
        <v>1417</v>
      </c>
      <c r="C1087" s="62" t="s">
        <v>0</v>
      </c>
      <c r="D1087" s="62">
        <v>132</v>
      </c>
      <c r="E1087" s="62">
        <v>132</v>
      </c>
      <c r="F1087" s="62" t="s">
        <v>0</v>
      </c>
      <c r="G1087" s="63">
        <v>132</v>
      </c>
      <c r="H1087" s="63">
        <v>132</v>
      </c>
    </row>
    <row r="1088" spans="1:10" x14ac:dyDescent="0.25">
      <c r="A1088" s="61" t="s">
        <v>1053</v>
      </c>
      <c r="B1088" s="61" t="s">
        <v>1418</v>
      </c>
      <c r="C1088" s="62" t="s">
        <v>0</v>
      </c>
      <c r="D1088" s="62" t="s">
        <v>0</v>
      </c>
      <c r="E1088" s="62">
        <v>6766</v>
      </c>
      <c r="F1088" s="62">
        <v>6765</v>
      </c>
      <c r="G1088" s="63">
        <v>10000</v>
      </c>
      <c r="H1088" s="63">
        <v>10000</v>
      </c>
    </row>
    <row r="1089" spans="1:8" x14ac:dyDescent="0.25">
      <c r="A1089" s="61" t="s">
        <v>1054</v>
      </c>
      <c r="B1089" s="61" t="s">
        <v>1419</v>
      </c>
      <c r="C1089" s="62">
        <v>1000</v>
      </c>
      <c r="D1089" s="62" t="s">
        <v>0</v>
      </c>
      <c r="E1089" s="62">
        <v>281</v>
      </c>
      <c r="F1089" s="62">
        <v>281</v>
      </c>
      <c r="G1089" s="63">
        <v>0</v>
      </c>
      <c r="H1089" s="63">
        <v>0</v>
      </c>
    </row>
    <row r="1090" spans="1:8" x14ac:dyDescent="0.25">
      <c r="A1090" s="61" t="s">
        <v>1055</v>
      </c>
      <c r="B1090" s="61" t="s">
        <v>536</v>
      </c>
      <c r="C1090" s="62">
        <v>25204</v>
      </c>
      <c r="D1090" s="62">
        <v>35000</v>
      </c>
      <c r="E1090" s="62">
        <v>15471</v>
      </c>
      <c r="F1090" s="62">
        <v>15470.93</v>
      </c>
      <c r="G1090" s="63">
        <v>25000</v>
      </c>
      <c r="H1090" s="63">
        <v>25000</v>
      </c>
    </row>
    <row r="1091" spans="1:8" x14ac:dyDescent="0.25">
      <c r="A1091" s="61" t="s">
        <v>1056</v>
      </c>
      <c r="B1091" s="61" t="s">
        <v>536</v>
      </c>
      <c r="C1091" s="62">
        <v>36496</v>
      </c>
      <c r="D1091" s="62">
        <v>45000</v>
      </c>
      <c r="E1091" s="62">
        <v>45000</v>
      </c>
      <c r="F1091" s="62">
        <v>22604.81</v>
      </c>
      <c r="G1091" s="63">
        <v>40000</v>
      </c>
      <c r="H1091" s="63">
        <v>40000</v>
      </c>
    </row>
    <row r="1092" spans="1:8" x14ac:dyDescent="0.25">
      <c r="A1092" s="61" t="s">
        <v>1057</v>
      </c>
      <c r="B1092" s="61" t="s">
        <v>536</v>
      </c>
      <c r="C1092" s="62" t="s">
        <v>0</v>
      </c>
      <c r="D1092" s="62" t="s">
        <v>0</v>
      </c>
      <c r="E1092" s="62" t="s">
        <v>0</v>
      </c>
      <c r="F1092" s="64">
        <v>-24</v>
      </c>
      <c r="G1092" s="63">
        <v>0</v>
      </c>
      <c r="H1092" s="63">
        <v>0</v>
      </c>
    </row>
    <row r="1093" spans="1:8" x14ac:dyDescent="0.25">
      <c r="A1093" s="61" t="s">
        <v>1058</v>
      </c>
      <c r="B1093" s="61" t="s">
        <v>536</v>
      </c>
      <c r="C1093" s="62">
        <v>628</v>
      </c>
      <c r="D1093" s="62">
        <v>2138</v>
      </c>
      <c r="E1093" s="62">
        <v>2138</v>
      </c>
      <c r="F1093" s="62">
        <v>391.59</v>
      </c>
      <c r="G1093" s="63">
        <v>1000</v>
      </c>
      <c r="H1093" s="63">
        <v>1000</v>
      </c>
    </row>
    <row r="1094" spans="1:8" x14ac:dyDescent="0.25">
      <c r="A1094" s="61" t="s">
        <v>1059</v>
      </c>
      <c r="B1094" s="61" t="s">
        <v>536</v>
      </c>
      <c r="C1094" s="62">
        <v>126</v>
      </c>
      <c r="D1094" s="62">
        <v>320</v>
      </c>
      <c r="E1094" s="62">
        <v>320</v>
      </c>
      <c r="F1094" s="62">
        <v>281.99</v>
      </c>
      <c r="G1094" s="63">
        <v>300</v>
      </c>
      <c r="H1094" s="63">
        <v>300</v>
      </c>
    </row>
    <row r="1095" spans="1:8" x14ac:dyDescent="0.25">
      <c r="A1095" s="61" t="s">
        <v>1060</v>
      </c>
      <c r="B1095" s="61" t="s">
        <v>536</v>
      </c>
      <c r="C1095" s="62">
        <v>216</v>
      </c>
      <c r="D1095" s="62">
        <v>500</v>
      </c>
      <c r="E1095" s="62">
        <v>500</v>
      </c>
      <c r="F1095" s="62">
        <v>376.74</v>
      </c>
      <c r="G1095" s="63">
        <v>500</v>
      </c>
      <c r="H1095" s="63">
        <v>500</v>
      </c>
    </row>
    <row r="1096" spans="1:8" x14ac:dyDescent="0.25">
      <c r="A1096" s="61" t="s">
        <v>1061</v>
      </c>
      <c r="B1096" s="61" t="s">
        <v>1420</v>
      </c>
      <c r="C1096" s="62">
        <v>13023</v>
      </c>
      <c r="D1096" s="62">
        <v>6000</v>
      </c>
      <c r="E1096" s="62">
        <v>6413</v>
      </c>
      <c r="F1096" s="62">
        <v>7743.13</v>
      </c>
      <c r="G1096" s="63">
        <v>6000</v>
      </c>
      <c r="H1096" s="63">
        <v>6000</v>
      </c>
    </row>
    <row r="1097" spans="1:8" x14ac:dyDescent="0.25">
      <c r="A1097" s="61" t="s">
        <v>1062</v>
      </c>
      <c r="B1097" s="61" t="s">
        <v>1420</v>
      </c>
      <c r="C1097" s="62">
        <v>174</v>
      </c>
      <c r="D1097" s="62">
        <v>1500</v>
      </c>
      <c r="E1097" s="62">
        <v>1500</v>
      </c>
      <c r="F1097" s="62">
        <v>1073.8399999999999</v>
      </c>
      <c r="G1097" s="63">
        <v>1500</v>
      </c>
      <c r="H1097" s="63">
        <v>1500</v>
      </c>
    </row>
    <row r="1098" spans="1:8" x14ac:dyDescent="0.25">
      <c r="A1098" s="61" t="s">
        <v>1063</v>
      </c>
      <c r="B1098" s="61" t="s">
        <v>1421</v>
      </c>
      <c r="C1098" s="62">
        <v>1858</v>
      </c>
      <c r="D1098" s="62">
        <v>2700</v>
      </c>
      <c r="E1098" s="62">
        <v>2700</v>
      </c>
      <c r="F1098" s="62">
        <v>1280</v>
      </c>
      <c r="G1098" s="63">
        <v>1250</v>
      </c>
      <c r="H1098" s="63">
        <v>1250</v>
      </c>
    </row>
    <row r="1099" spans="1:8" x14ac:dyDescent="0.25">
      <c r="A1099" s="61" t="s">
        <v>1064</v>
      </c>
      <c r="B1099" s="61" t="s">
        <v>1421</v>
      </c>
      <c r="C1099" s="62">
        <v>3491</v>
      </c>
      <c r="D1099" s="62">
        <v>2970</v>
      </c>
      <c r="E1099" s="62">
        <v>2970</v>
      </c>
      <c r="F1099" s="62">
        <v>376</v>
      </c>
      <c r="G1099" s="63">
        <v>1970</v>
      </c>
      <c r="H1099" s="63">
        <v>1970</v>
      </c>
    </row>
    <row r="1100" spans="1:8" x14ac:dyDescent="0.25">
      <c r="A1100" s="61" t="s">
        <v>1065</v>
      </c>
      <c r="B1100" s="61" t="s">
        <v>1422</v>
      </c>
      <c r="C1100" s="62">
        <v>300</v>
      </c>
      <c r="D1100" s="62">
        <v>1700</v>
      </c>
      <c r="E1100" s="62">
        <v>1700</v>
      </c>
      <c r="F1100" s="62">
        <v>1624.08</v>
      </c>
      <c r="G1100" s="63">
        <v>1250</v>
      </c>
      <c r="H1100" s="63">
        <v>1250</v>
      </c>
    </row>
    <row r="1101" spans="1:8" x14ac:dyDescent="0.25">
      <c r="A1101" s="61" t="s">
        <v>1066</v>
      </c>
      <c r="B1101" s="61" t="s">
        <v>1423</v>
      </c>
      <c r="C1101" s="62">
        <v>3882</v>
      </c>
      <c r="D1101" s="62">
        <v>3000</v>
      </c>
      <c r="E1101" s="62">
        <v>3000</v>
      </c>
      <c r="F1101" s="62">
        <v>1214.54</v>
      </c>
      <c r="G1101" s="63">
        <v>2500</v>
      </c>
      <c r="H1101" s="63">
        <v>2500</v>
      </c>
    </row>
    <row r="1102" spans="1:8" x14ac:dyDescent="0.25">
      <c r="A1102" s="61" t="s">
        <v>1067</v>
      </c>
      <c r="B1102" s="61" t="s">
        <v>1424</v>
      </c>
      <c r="C1102" s="62">
        <v>2958</v>
      </c>
      <c r="D1102" s="62">
        <v>1700</v>
      </c>
      <c r="E1102" s="62">
        <v>1700</v>
      </c>
      <c r="F1102" s="62">
        <v>1431.28</v>
      </c>
      <c r="G1102" s="63">
        <v>1500</v>
      </c>
      <c r="H1102" s="63">
        <v>1500</v>
      </c>
    </row>
    <row r="1103" spans="1:8" x14ac:dyDescent="0.25">
      <c r="A1103" s="61" t="s">
        <v>1068</v>
      </c>
      <c r="B1103" s="61" t="s">
        <v>1425</v>
      </c>
      <c r="C1103" s="62">
        <v>2500</v>
      </c>
      <c r="D1103" s="62">
        <v>1800</v>
      </c>
      <c r="E1103" s="62">
        <v>1800</v>
      </c>
      <c r="F1103" s="64">
        <v>-80</v>
      </c>
      <c r="G1103" s="63">
        <v>1500</v>
      </c>
      <c r="H1103" s="63">
        <v>1500</v>
      </c>
    </row>
    <row r="1104" spans="1:8" x14ac:dyDescent="0.25">
      <c r="A1104" s="61" t="s">
        <v>1069</v>
      </c>
      <c r="B1104" s="61" t="s">
        <v>1426</v>
      </c>
      <c r="C1104" s="62">
        <v>8328</v>
      </c>
      <c r="D1104" s="62">
        <v>9065</v>
      </c>
      <c r="E1104" s="62">
        <v>9065</v>
      </c>
      <c r="F1104" s="62">
        <v>7331.03</v>
      </c>
      <c r="G1104" s="63">
        <v>7750</v>
      </c>
      <c r="H1104" s="63">
        <v>7750</v>
      </c>
    </row>
    <row r="1105" spans="1:8" x14ac:dyDescent="0.25">
      <c r="A1105" s="61" t="s">
        <v>1070</v>
      </c>
      <c r="B1105" s="61" t="s">
        <v>1426</v>
      </c>
      <c r="C1105" s="62">
        <v>435</v>
      </c>
      <c r="D1105" s="62">
        <v>528</v>
      </c>
      <c r="E1105" s="62">
        <v>528</v>
      </c>
      <c r="F1105" s="62" t="s">
        <v>0</v>
      </c>
      <c r="G1105" s="63">
        <v>500</v>
      </c>
      <c r="H1105" s="63">
        <v>500</v>
      </c>
    </row>
    <row r="1106" spans="1:8" x14ac:dyDescent="0.25">
      <c r="A1106" s="61" t="s">
        <v>1071</v>
      </c>
      <c r="B1106" s="61" t="s">
        <v>1427</v>
      </c>
      <c r="C1106" s="62">
        <v>4501</v>
      </c>
      <c r="D1106" s="62">
        <v>4500</v>
      </c>
      <c r="E1106" s="62">
        <v>4500</v>
      </c>
      <c r="F1106" s="62">
        <v>4500</v>
      </c>
      <c r="G1106" s="63">
        <v>4500</v>
      </c>
      <c r="H1106" s="63">
        <v>4500</v>
      </c>
    </row>
    <row r="1107" spans="1:8" x14ac:dyDescent="0.25">
      <c r="A1107" s="61" t="s">
        <v>1072</v>
      </c>
      <c r="B1107" s="61" t="s">
        <v>1428</v>
      </c>
      <c r="C1107" s="62">
        <v>4563</v>
      </c>
      <c r="D1107" s="62">
        <v>4500</v>
      </c>
      <c r="E1107" s="62">
        <v>5456</v>
      </c>
      <c r="F1107" s="62">
        <v>5455.78</v>
      </c>
      <c r="G1107" s="63">
        <v>4500</v>
      </c>
      <c r="H1107" s="63">
        <v>4500</v>
      </c>
    </row>
    <row r="1108" spans="1:8" x14ac:dyDescent="0.25">
      <c r="A1108" s="61" t="s">
        <v>1073</v>
      </c>
      <c r="B1108" s="61" t="s">
        <v>1428</v>
      </c>
      <c r="C1108" s="62">
        <v>4857</v>
      </c>
      <c r="D1108" s="62">
        <v>4000</v>
      </c>
      <c r="E1108" s="62">
        <v>3498</v>
      </c>
      <c r="F1108" s="62">
        <v>3498</v>
      </c>
      <c r="G1108" s="63">
        <v>3500</v>
      </c>
      <c r="H1108" s="63">
        <v>3500</v>
      </c>
    </row>
    <row r="1109" spans="1:8" x14ac:dyDescent="0.25">
      <c r="A1109" s="61" t="s">
        <v>1074</v>
      </c>
      <c r="B1109" s="61" t="s">
        <v>1429</v>
      </c>
      <c r="C1109" s="62">
        <v>4065</v>
      </c>
      <c r="D1109" s="62">
        <v>4500</v>
      </c>
      <c r="E1109" s="62">
        <v>4586</v>
      </c>
      <c r="F1109" s="62">
        <v>4585.51</v>
      </c>
      <c r="G1109" s="63">
        <v>4500</v>
      </c>
      <c r="H1109" s="63">
        <v>4500</v>
      </c>
    </row>
    <row r="1110" spans="1:8" x14ac:dyDescent="0.25">
      <c r="A1110" s="61" t="s">
        <v>1075</v>
      </c>
      <c r="B1110" s="61" t="s">
        <v>1429</v>
      </c>
      <c r="C1110" s="62">
        <v>2918</v>
      </c>
      <c r="D1110" s="62">
        <v>4000</v>
      </c>
      <c r="E1110" s="62">
        <v>1803</v>
      </c>
      <c r="F1110" s="62">
        <v>1802.2</v>
      </c>
      <c r="G1110" s="63">
        <v>2500</v>
      </c>
      <c r="H1110" s="63">
        <v>2500</v>
      </c>
    </row>
    <row r="1111" spans="1:8" x14ac:dyDescent="0.25">
      <c r="A1111" s="61" t="s">
        <v>1076</v>
      </c>
      <c r="B1111" s="61" t="s">
        <v>1430</v>
      </c>
      <c r="C1111" s="62">
        <v>7831</v>
      </c>
      <c r="D1111" s="62">
        <v>6500</v>
      </c>
      <c r="E1111" s="62">
        <v>6500</v>
      </c>
      <c r="F1111" s="62">
        <v>5645.84</v>
      </c>
      <c r="G1111" s="63">
        <v>4500</v>
      </c>
      <c r="H1111" s="63">
        <v>4500</v>
      </c>
    </row>
    <row r="1112" spans="1:8" x14ac:dyDescent="0.25">
      <c r="A1112" s="61" t="s">
        <v>1077</v>
      </c>
      <c r="B1112" s="61" t="s">
        <v>1430</v>
      </c>
      <c r="C1112" s="62">
        <v>2986</v>
      </c>
      <c r="D1112" s="62">
        <v>7530</v>
      </c>
      <c r="E1112" s="62">
        <v>2543</v>
      </c>
      <c r="F1112" s="62">
        <v>2543</v>
      </c>
      <c r="G1112" s="63">
        <v>3000</v>
      </c>
      <c r="H1112" s="63">
        <v>3000</v>
      </c>
    </row>
    <row r="1113" spans="1:8" x14ac:dyDescent="0.25">
      <c r="A1113" s="61" t="s">
        <v>1078</v>
      </c>
      <c r="B1113" s="61" t="s">
        <v>1431</v>
      </c>
      <c r="C1113" s="62">
        <v>15225</v>
      </c>
      <c r="D1113" s="62">
        <v>6000</v>
      </c>
      <c r="E1113" s="62">
        <v>6000</v>
      </c>
      <c r="F1113" s="62">
        <v>6220.98</v>
      </c>
      <c r="G1113" s="63">
        <v>4500</v>
      </c>
      <c r="H1113" s="63">
        <v>4500</v>
      </c>
    </row>
    <row r="1114" spans="1:8" x14ac:dyDescent="0.25">
      <c r="A1114" s="61" t="s">
        <v>1079</v>
      </c>
      <c r="B1114" s="61" t="s">
        <v>1431</v>
      </c>
      <c r="C1114" s="62">
        <v>1275</v>
      </c>
      <c r="D1114" s="62">
        <v>1500</v>
      </c>
      <c r="E1114" s="62">
        <v>1500</v>
      </c>
      <c r="F1114" s="62">
        <v>1279.02</v>
      </c>
      <c r="G1114" s="63">
        <v>2000</v>
      </c>
      <c r="H1114" s="63">
        <v>2000</v>
      </c>
    </row>
    <row r="1115" spans="1:8" x14ac:dyDescent="0.25">
      <c r="A1115" s="61" t="s">
        <v>1080</v>
      </c>
      <c r="B1115" s="61" t="s">
        <v>1432</v>
      </c>
      <c r="C1115" s="62">
        <v>3996</v>
      </c>
      <c r="D1115" s="62">
        <v>4500</v>
      </c>
      <c r="E1115" s="62">
        <v>5109</v>
      </c>
      <c r="F1115" s="62">
        <v>3984.97</v>
      </c>
      <c r="G1115" s="63">
        <v>4500</v>
      </c>
      <c r="H1115" s="63">
        <v>4500</v>
      </c>
    </row>
    <row r="1116" spans="1:8" x14ac:dyDescent="0.25">
      <c r="A1116" s="61" t="s">
        <v>1081</v>
      </c>
      <c r="B1116" s="61" t="s">
        <v>1432</v>
      </c>
      <c r="C1116" s="62">
        <v>834</v>
      </c>
      <c r="D1116" s="62">
        <v>3000</v>
      </c>
      <c r="E1116" s="62">
        <v>906</v>
      </c>
      <c r="F1116" s="62">
        <v>906</v>
      </c>
      <c r="G1116" s="63">
        <v>2500</v>
      </c>
      <c r="H1116" s="63">
        <v>2500</v>
      </c>
    </row>
    <row r="1117" spans="1:8" x14ac:dyDescent="0.25">
      <c r="A1117" s="61" t="s">
        <v>1082</v>
      </c>
      <c r="B1117" s="61" t="s">
        <v>1433</v>
      </c>
      <c r="C1117" s="62">
        <v>3470</v>
      </c>
      <c r="D1117" s="62">
        <v>3500</v>
      </c>
      <c r="E1117" s="62">
        <v>5007</v>
      </c>
      <c r="F1117" s="62">
        <v>5007</v>
      </c>
      <c r="G1117" s="63">
        <v>4500</v>
      </c>
      <c r="H1117" s="63">
        <v>4500</v>
      </c>
    </row>
    <row r="1118" spans="1:8" x14ac:dyDescent="0.25">
      <c r="A1118" s="61" t="s">
        <v>1083</v>
      </c>
      <c r="B1118" s="61" t="s">
        <v>1433</v>
      </c>
      <c r="C1118" s="62">
        <v>1894</v>
      </c>
      <c r="D1118" s="62">
        <v>3000</v>
      </c>
      <c r="E1118" s="62">
        <v>2607</v>
      </c>
      <c r="F1118" s="62">
        <v>2606.89</v>
      </c>
      <c r="G1118" s="63">
        <v>2500</v>
      </c>
      <c r="H1118" s="63">
        <v>2500</v>
      </c>
    </row>
    <row r="1119" spans="1:8" x14ac:dyDescent="0.25">
      <c r="A1119" s="61" t="s">
        <v>1084</v>
      </c>
      <c r="B1119" s="61" t="s">
        <v>1434</v>
      </c>
      <c r="C1119" s="62">
        <v>2397</v>
      </c>
      <c r="D1119" s="62">
        <v>3500</v>
      </c>
      <c r="E1119" s="62">
        <v>2621</v>
      </c>
      <c r="F1119" s="62">
        <v>2620.61</v>
      </c>
      <c r="G1119" s="63">
        <v>4500</v>
      </c>
      <c r="H1119" s="63">
        <v>4500</v>
      </c>
    </row>
    <row r="1120" spans="1:8" x14ac:dyDescent="0.25">
      <c r="A1120" s="61" t="s">
        <v>1085</v>
      </c>
      <c r="B1120" s="61" t="s">
        <v>1435</v>
      </c>
      <c r="C1120" s="62">
        <v>1894</v>
      </c>
      <c r="D1120" s="62">
        <v>3000</v>
      </c>
      <c r="E1120" s="62">
        <v>3272</v>
      </c>
      <c r="F1120" s="62">
        <v>3271.05</v>
      </c>
      <c r="G1120" s="63">
        <v>2500</v>
      </c>
      <c r="H1120" s="63">
        <v>2500</v>
      </c>
    </row>
    <row r="1121" spans="1:10" x14ac:dyDescent="0.25">
      <c r="A1121" s="61" t="s">
        <v>1086</v>
      </c>
      <c r="B1121" s="61" t="s">
        <v>1436</v>
      </c>
      <c r="C1121" s="62">
        <v>5982</v>
      </c>
      <c r="D1121" s="62">
        <v>4500</v>
      </c>
      <c r="E1121" s="62">
        <v>4500</v>
      </c>
      <c r="F1121" s="62">
        <v>1716.95</v>
      </c>
      <c r="G1121" s="63">
        <v>4500</v>
      </c>
      <c r="H1121" s="63">
        <v>4500</v>
      </c>
    </row>
    <row r="1122" spans="1:10" x14ac:dyDescent="0.25">
      <c r="A1122" s="61" t="s">
        <v>1087</v>
      </c>
      <c r="B1122" s="61" t="s">
        <v>1436</v>
      </c>
      <c r="C1122" s="62">
        <v>2394</v>
      </c>
      <c r="D1122" s="62">
        <v>3500</v>
      </c>
      <c r="E1122" s="62">
        <v>3500</v>
      </c>
      <c r="F1122" s="62">
        <v>2325.2600000000002</v>
      </c>
      <c r="G1122" s="63">
        <v>2500</v>
      </c>
      <c r="H1122" s="63">
        <v>2500</v>
      </c>
    </row>
    <row r="1123" spans="1:10" x14ac:dyDescent="0.25">
      <c r="A1123" s="61" t="s">
        <v>1088</v>
      </c>
      <c r="B1123" s="61" t="s">
        <v>1437</v>
      </c>
      <c r="C1123" s="62">
        <v>1686</v>
      </c>
      <c r="D1123" s="62">
        <v>2000</v>
      </c>
      <c r="E1123" s="62">
        <v>2872</v>
      </c>
      <c r="F1123" s="62">
        <v>2371.29</v>
      </c>
      <c r="G1123" s="63">
        <v>2500</v>
      </c>
      <c r="H1123" s="63">
        <v>2500</v>
      </c>
    </row>
    <row r="1124" spans="1:10" x14ac:dyDescent="0.25">
      <c r="A1124" s="61" t="s">
        <v>1089</v>
      </c>
      <c r="B1124" s="61" t="s">
        <v>1438</v>
      </c>
      <c r="C1124" s="62">
        <v>1675</v>
      </c>
      <c r="D1124" s="62">
        <v>2500</v>
      </c>
      <c r="E1124" s="62">
        <v>1877</v>
      </c>
      <c r="F1124" s="62">
        <v>1876.59</v>
      </c>
      <c r="G1124" s="63">
        <v>2500</v>
      </c>
      <c r="H1124" s="63">
        <v>2500</v>
      </c>
    </row>
    <row r="1125" spans="1:10" x14ac:dyDescent="0.25">
      <c r="A1125" s="61" t="s">
        <v>1090</v>
      </c>
      <c r="B1125" s="61" t="s">
        <v>1439</v>
      </c>
      <c r="C1125" s="62">
        <v>5973</v>
      </c>
      <c r="D1125" s="62">
        <v>4500</v>
      </c>
      <c r="E1125" s="62">
        <v>4500</v>
      </c>
      <c r="F1125" s="62">
        <v>4500</v>
      </c>
      <c r="G1125" s="63">
        <v>4500</v>
      </c>
      <c r="H1125" s="63">
        <v>4500</v>
      </c>
    </row>
    <row r="1126" spans="1:10" x14ac:dyDescent="0.25">
      <c r="A1126" s="61" t="s">
        <v>1091</v>
      </c>
      <c r="B1126" s="61" t="s">
        <v>1440</v>
      </c>
      <c r="C1126" s="62" t="s">
        <v>0</v>
      </c>
      <c r="D1126" s="62">
        <v>500</v>
      </c>
      <c r="E1126" s="62">
        <v>500</v>
      </c>
      <c r="F1126" s="62" t="s">
        <v>0</v>
      </c>
      <c r="G1126" s="63">
        <v>300</v>
      </c>
      <c r="H1126" s="63">
        <v>300</v>
      </c>
    </row>
    <row r="1127" spans="1:10" x14ac:dyDescent="0.25">
      <c r="A1127" s="61" t="s">
        <v>1092</v>
      </c>
      <c r="B1127" s="61" t="s">
        <v>972</v>
      </c>
      <c r="C1127" s="62">
        <v>43475</v>
      </c>
      <c r="D1127" s="62">
        <v>45000</v>
      </c>
      <c r="E1127" s="62">
        <v>45000</v>
      </c>
      <c r="F1127" s="62" t="s">
        <v>0</v>
      </c>
      <c r="G1127" s="63">
        <v>45000</v>
      </c>
      <c r="H1127" s="63">
        <v>45000</v>
      </c>
    </row>
    <row r="1128" spans="1:10" x14ac:dyDescent="0.25">
      <c r="A1128" s="61" t="s">
        <v>1093</v>
      </c>
      <c r="B1128" s="61" t="s">
        <v>545</v>
      </c>
      <c r="C1128" s="62">
        <v>6247</v>
      </c>
      <c r="D1128" s="62">
        <v>10000</v>
      </c>
      <c r="E1128" s="62">
        <v>10000</v>
      </c>
      <c r="F1128" s="62">
        <v>10250</v>
      </c>
      <c r="G1128" s="63">
        <v>10000</v>
      </c>
      <c r="H1128" s="63">
        <v>10000</v>
      </c>
    </row>
    <row r="1129" spans="1:10" x14ac:dyDescent="0.25">
      <c r="A1129" s="61" t="s">
        <v>1094</v>
      </c>
      <c r="B1129" s="61" t="s">
        <v>1441</v>
      </c>
      <c r="C1129" s="62">
        <v>250</v>
      </c>
      <c r="D1129" s="62">
        <v>250</v>
      </c>
      <c r="E1129" s="62">
        <v>250</v>
      </c>
      <c r="F1129" s="62">
        <v>250</v>
      </c>
      <c r="G1129" s="63">
        <v>250</v>
      </c>
      <c r="H1129" s="63">
        <v>250</v>
      </c>
    </row>
    <row r="1130" spans="1:10" x14ac:dyDescent="0.25">
      <c r="A1130" s="61" t="s">
        <v>1095</v>
      </c>
      <c r="B1130" s="61" t="s">
        <v>1442</v>
      </c>
      <c r="C1130" s="62" t="s">
        <v>0</v>
      </c>
      <c r="D1130" s="62">
        <v>1000</v>
      </c>
      <c r="E1130" s="62">
        <v>1157</v>
      </c>
      <c r="F1130" s="62">
        <v>906.8</v>
      </c>
      <c r="G1130" s="63">
        <v>0</v>
      </c>
      <c r="H1130" s="63">
        <v>0</v>
      </c>
    </row>
    <row r="1131" spans="1:10" ht="15.75" thickBot="1" x14ac:dyDescent="0.3">
      <c r="A1131" s="61" t="s">
        <v>1096</v>
      </c>
      <c r="B1131" s="61" t="s">
        <v>1443</v>
      </c>
      <c r="C1131" s="65">
        <v>240</v>
      </c>
      <c r="D1131" s="65">
        <v>300</v>
      </c>
      <c r="E1131" s="65">
        <v>240</v>
      </c>
      <c r="F1131" s="65">
        <v>240</v>
      </c>
      <c r="G1131" s="66">
        <v>300</v>
      </c>
      <c r="H1131" s="66">
        <v>300</v>
      </c>
    </row>
    <row r="1132" spans="1:10" s="3" customFormat="1" x14ac:dyDescent="0.25">
      <c r="B1132" s="3" t="s">
        <v>1359</v>
      </c>
      <c r="C1132" s="6">
        <f>SUM(C1084:C1131)</f>
        <v>235400</v>
      </c>
      <c r="D1132" s="6">
        <f t="shared" ref="D1132:H1132" si="61">SUM(D1084:D1131)</f>
        <v>256083</v>
      </c>
      <c r="E1132" s="6">
        <f t="shared" si="61"/>
        <v>236738</v>
      </c>
      <c r="F1132" s="6">
        <f t="shared" si="61"/>
        <v>150239.48999999996</v>
      </c>
      <c r="G1132" s="8">
        <f t="shared" si="61"/>
        <v>233652</v>
      </c>
      <c r="H1132" s="8">
        <f t="shared" si="61"/>
        <v>233652</v>
      </c>
      <c r="J1132"/>
    </row>
    <row r="1133" spans="1:10" x14ac:dyDescent="0.25">
      <c r="C1133" s="4"/>
      <c r="D1133" s="4"/>
      <c r="E1133" s="4"/>
      <c r="F1133" s="4"/>
    </row>
    <row r="1134" spans="1:10" s="3" customFormat="1" x14ac:dyDescent="0.25">
      <c r="A1134" s="3" t="s">
        <v>1097</v>
      </c>
      <c r="B1134" s="3" t="s">
        <v>1444</v>
      </c>
      <c r="C1134" s="6">
        <v>993478</v>
      </c>
      <c r="D1134" s="6">
        <v>803144</v>
      </c>
      <c r="E1134" s="6">
        <v>803144</v>
      </c>
      <c r="F1134" s="6">
        <v>721887.1</v>
      </c>
      <c r="G1134" s="14">
        <f>G1132+G1082+G1041+G1029</f>
        <v>793122.05801999988</v>
      </c>
      <c r="H1134" s="14">
        <f>H1132+H1082+H1041+H1029</f>
        <v>795778.26276059996</v>
      </c>
      <c r="J1134"/>
    </row>
    <row r="1135" spans="1:10" x14ac:dyDescent="0.25">
      <c r="C1135" s="4"/>
      <c r="D1135" s="4"/>
      <c r="E1135" s="4"/>
      <c r="F1135" s="4"/>
    </row>
    <row r="1136" spans="1:10" x14ac:dyDescent="0.25">
      <c r="A1136" s="61" t="s">
        <v>1098</v>
      </c>
      <c r="B1136" s="61" t="s">
        <v>72</v>
      </c>
      <c r="C1136" s="62">
        <v>117126</v>
      </c>
      <c r="D1136" s="62">
        <v>126000</v>
      </c>
      <c r="E1136" s="62">
        <v>126000</v>
      </c>
      <c r="F1136" s="62">
        <v>140609.26</v>
      </c>
      <c r="G1136" s="63">
        <v>195030</v>
      </c>
      <c r="H1136" s="63">
        <f>G1136+(G1136*3%)</f>
        <v>200880.9</v>
      </c>
    </row>
    <row r="1137" spans="1:8" x14ac:dyDescent="0.25">
      <c r="A1137" s="61" t="s">
        <v>1099</v>
      </c>
      <c r="B1137" s="61" t="s">
        <v>72</v>
      </c>
      <c r="C1137" s="62">
        <v>226276</v>
      </c>
      <c r="D1137" s="62">
        <v>178952</v>
      </c>
      <c r="E1137" s="62">
        <v>178952</v>
      </c>
      <c r="F1137" s="62">
        <v>128799.33</v>
      </c>
      <c r="G1137" s="63">
        <v>77000</v>
      </c>
      <c r="H1137" s="63">
        <f t="shared" ref="H1137:H1161" si="62">G1137+(G1137*3%)</f>
        <v>79310</v>
      </c>
    </row>
    <row r="1138" spans="1:8" x14ac:dyDescent="0.25">
      <c r="A1138" s="75" t="s">
        <v>1100</v>
      </c>
      <c r="B1138" s="75" t="s">
        <v>109</v>
      </c>
      <c r="C1138" s="63">
        <v>1302</v>
      </c>
      <c r="D1138" s="63">
        <v>2000</v>
      </c>
      <c r="E1138" s="63">
        <v>2000</v>
      </c>
      <c r="F1138" s="63">
        <v>1738.02</v>
      </c>
      <c r="G1138" s="63">
        <v>2000</v>
      </c>
      <c r="H1138" s="63">
        <v>2000</v>
      </c>
    </row>
    <row r="1139" spans="1:8" x14ac:dyDescent="0.25">
      <c r="A1139" s="75" t="s">
        <v>1101</v>
      </c>
      <c r="B1139" s="75" t="s">
        <v>109</v>
      </c>
      <c r="C1139" s="63" t="s">
        <v>0</v>
      </c>
      <c r="D1139" s="63">
        <v>2000</v>
      </c>
      <c r="E1139" s="63">
        <v>2000</v>
      </c>
      <c r="F1139" s="63">
        <v>9.5</v>
      </c>
      <c r="G1139" s="63">
        <v>0</v>
      </c>
      <c r="H1139" s="63">
        <v>0</v>
      </c>
    </row>
    <row r="1140" spans="1:8" x14ac:dyDescent="0.25">
      <c r="A1140" s="75" t="s">
        <v>1102</v>
      </c>
      <c r="B1140" s="75" t="s">
        <v>109</v>
      </c>
      <c r="C1140" s="63">
        <v>3938</v>
      </c>
      <c r="D1140" s="63">
        <v>3000</v>
      </c>
      <c r="E1140" s="63">
        <v>3000</v>
      </c>
      <c r="F1140" s="63">
        <v>9126.18</v>
      </c>
      <c r="G1140" s="63">
        <v>3000</v>
      </c>
      <c r="H1140" s="63">
        <v>3000</v>
      </c>
    </row>
    <row r="1141" spans="1:8" x14ac:dyDescent="0.25">
      <c r="A1141" s="75" t="s">
        <v>1103</v>
      </c>
      <c r="B1141" s="75" t="s">
        <v>126</v>
      </c>
      <c r="C1141" s="63" t="s">
        <v>0</v>
      </c>
      <c r="D1141" s="63">
        <v>1000</v>
      </c>
      <c r="E1141" s="63">
        <v>1000</v>
      </c>
      <c r="F1141" s="63" t="s">
        <v>0</v>
      </c>
      <c r="G1141" s="63">
        <v>0</v>
      </c>
      <c r="H1141" s="63">
        <v>0</v>
      </c>
    </row>
    <row r="1142" spans="1:8" x14ac:dyDescent="0.25">
      <c r="A1142" s="61" t="s">
        <v>1104</v>
      </c>
      <c r="B1142" s="61" t="s">
        <v>141</v>
      </c>
      <c r="C1142" s="62">
        <v>46507</v>
      </c>
      <c r="D1142" s="62">
        <v>45670</v>
      </c>
      <c r="E1142" s="62">
        <v>45670</v>
      </c>
      <c r="F1142" s="62">
        <v>49682.81</v>
      </c>
      <c r="G1142" s="63">
        <f>38563+50693.7</f>
        <v>89256.7</v>
      </c>
      <c r="H1142" s="63">
        <f t="shared" si="62"/>
        <v>91934.400999999998</v>
      </c>
    </row>
    <row r="1143" spans="1:8" x14ac:dyDescent="0.25">
      <c r="A1143" s="61" t="s">
        <v>1105</v>
      </c>
      <c r="B1143" s="61" t="s">
        <v>141</v>
      </c>
      <c r="C1143" s="62">
        <v>29938</v>
      </c>
      <c r="D1143" s="62">
        <v>25425</v>
      </c>
      <c r="E1143" s="62">
        <v>25425</v>
      </c>
      <c r="F1143" s="62">
        <v>25971.03</v>
      </c>
      <c r="G1143" s="63">
        <f>28632.72</f>
        <v>28632.720000000001</v>
      </c>
      <c r="H1143" s="63">
        <f t="shared" si="62"/>
        <v>29491.7016</v>
      </c>
    </row>
    <row r="1144" spans="1:8" x14ac:dyDescent="0.25">
      <c r="A1144" s="61" t="s">
        <v>1106</v>
      </c>
      <c r="B1144" s="61" t="s">
        <v>141</v>
      </c>
      <c r="C1144" s="62">
        <v>149152</v>
      </c>
      <c r="D1144" s="62">
        <v>158977</v>
      </c>
      <c r="E1144" s="62">
        <v>158977</v>
      </c>
      <c r="F1144" s="62">
        <v>121379.04</v>
      </c>
      <c r="G1144" s="63">
        <f>35002.88+33845.76+30772.16</f>
        <v>99620.800000000003</v>
      </c>
      <c r="H1144" s="63">
        <f t="shared" si="62"/>
        <v>102609.424</v>
      </c>
    </row>
    <row r="1145" spans="1:8" x14ac:dyDescent="0.25">
      <c r="A1145" s="61" t="s">
        <v>1107</v>
      </c>
      <c r="B1145" s="61" t="s">
        <v>160</v>
      </c>
      <c r="C1145" s="62">
        <v>1587</v>
      </c>
      <c r="D1145" s="62">
        <v>900</v>
      </c>
      <c r="E1145" s="62">
        <v>900</v>
      </c>
      <c r="F1145" s="62">
        <v>1032.3</v>
      </c>
      <c r="G1145" s="63">
        <v>0</v>
      </c>
      <c r="H1145" s="63">
        <f t="shared" si="62"/>
        <v>0</v>
      </c>
    </row>
    <row r="1146" spans="1:8" x14ac:dyDescent="0.25">
      <c r="A1146" s="61" t="s">
        <v>1108</v>
      </c>
      <c r="B1146" s="61" t="s">
        <v>162</v>
      </c>
      <c r="C1146" s="62">
        <v>5400</v>
      </c>
      <c r="D1146" s="62">
        <v>5400</v>
      </c>
      <c r="E1146" s="62">
        <v>5400</v>
      </c>
      <c r="F1146" s="62">
        <v>3735.4</v>
      </c>
      <c r="G1146" s="63">
        <v>0</v>
      </c>
      <c r="H1146" s="63">
        <f t="shared" si="62"/>
        <v>0</v>
      </c>
    </row>
    <row r="1147" spans="1:8" x14ac:dyDescent="0.25">
      <c r="A1147" s="61" t="s">
        <v>1109</v>
      </c>
      <c r="B1147" s="61" t="s">
        <v>169</v>
      </c>
      <c r="C1147" s="62">
        <v>27225</v>
      </c>
      <c r="D1147" s="62">
        <v>9000</v>
      </c>
      <c r="E1147" s="62">
        <v>9000</v>
      </c>
      <c r="F1147" s="62">
        <v>22225.66</v>
      </c>
      <c r="G1147" s="63">
        <v>0</v>
      </c>
      <c r="H1147" s="63">
        <f t="shared" si="62"/>
        <v>0</v>
      </c>
    </row>
    <row r="1148" spans="1:8" x14ac:dyDescent="0.25">
      <c r="A1148" s="61" t="s">
        <v>1110</v>
      </c>
      <c r="B1148" s="61" t="s">
        <v>172</v>
      </c>
      <c r="C1148" s="62">
        <v>2483</v>
      </c>
      <c r="D1148" s="62">
        <v>2837</v>
      </c>
      <c r="E1148" s="62">
        <v>2837</v>
      </c>
      <c r="F1148" s="62">
        <v>2845.3</v>
      </c>
      <c r="G1148" s="63">
        <f>(G1136+G1138+G1142+G1147)*1.45%</f>
        <v>4151.15715</v>
      </c>
      <c r="H1148" s="63">
        <f>(H1136+H1138+H1142+H1147)*1.45%</f>
        <v>4274.8218644999997</v>
      </c>
    </row>
    <row r="1149" spans="1:8" x14ac:dyDescent="0.25">
      <c r="A1149" s="61" t="s">
        <v>1111</v>
      </c>
      <c r="B1149" s="61" t="s">
        <v>172</v>
      </c>
      <c r="C1149" s="62">
        <v>366</v>
      </c>
      <c r="D1149" s="62">
        <v>349</v>
      </c>
      <c r="E1149" s="62">
        <v>349</v>
      </c>
      <c r="F1149" s="62">
        <v>324.58999999999997</v>
      </c>
      <c r="G1149" s="63">
        <f>(G1139+G1143)*1.45%</f>
        <v>415.17444</v>
      </c>
      <c r="H1149" s="63">
        <f>(H1139+H1143)*1.45%</f>
        <v>427.62967319999996</v>
      </c>
    </row>
    <row r="1150" spans="1:8" x14ac:dyDescent="0.25">
      <c r="A1150" s="61" t="s">
        <v>1112</v>
      </c>
      <c r="B1150" s="61" t="s">
        <v>172</v>
      </c>
      <c r="C1150" s="62">
        <v>5069</v>
      </c>
      <c r="D1150" s="62">
        <v>4143</v>
      </c>
      <c r="E1150" s="62">
        <v>4143</v>
      </c>
      <c r="F1150" s="62">
        <v>3354.36</v>
      </c>
      <c r="G1150" s="63">
        <f>(G1136+G1140+G1144)*1.45%</f>
        <v>4315.9365999999991</v>
      </c>
      <c r="H1150" s="63">
        <f>(H1136+H1140+H1144)*1.45%</f>
        <v>4444.1096980000002</v>
      </c>
    </row>
    <row r="1151" spans="1:8" x14ac:dyDescent="0.25">
      <c r="A1151" s="61" t="s">
        <v>1113</v>
      </c>
      <c r="B1151" s="61" t="s">
        <v>172</v>
      </c>
      <c r="C1151" s="62">
        <v>99</v>
      </c>
      <c r="D1151" s="62">
        <v>438</v>
      </c>
      <c r="E1151" s="62">
        <v>438</v>
      </c>
      <c r="F1151" s="62">
        <v>67.66</v>
      </c>
      <c r="G1151" s="63">
        <f>(G1145+G1146)*1.45%</f>
        <v>0</v>
      </c>
      <c r="H1151" s="63">
        <f>(H1145+H1146)*1.45%</f>
        <v>0</v>
      </c>
    </row>
    <row r="1152" spans="1:8" x14ac:dyDescent="0.25">
      <c r="A1152" s="61" t="s">
        <v>1114</v>
      </c>
      <c r="B1152" s="61" t="s">
        <v>218</v>
      </c>
      <c r="C1152" s="62">
        <v>5235</v>
      </c>
      <c r="D1152" s="62">
        <v>9894</v>
      </c>
      <c r="E1152" s="62">
        <v>9894</v>
      </c>
      <c r="F1152" s="62">
        <v>6617.84</v>
      </c>
      <c r="G1152" s="63">
        <v>9894</v>
      </c>
      <c r="H1152" s="63">
        <v>9894</v>
      </c>
    </row>
    <row r="1153" spans="1:10" x14ac:dyDescent="0.25">
      <c r="A1153" s="61" t="s">
        <v>1115</v>
      </c>
      <c r="B1153" s="61" t="s">
        <v>218</v>
      </c>
      <c r="C1153" s="62">
        <v>2473</v>
      </c>
      <c r="D1153" s="62">
        <v>2475</v>
      </c>
      <c r="E1153" s="62">
        <v>2475</v>
      </c>
      <c r="F1153" s="62">
        <v>4937.1499999999996</v>
      </c>
      <c r="G1153" s="63">
        <v>2475</v>
      </c>
      <c r="H1153" s="63">
        <v>2475</v>
      </c>
    </row>
    <row r="1154" spans="1:10" x14ac:dyDescent="0.25">
      <c r="A1154" s="61" t="s">
        <v>1116</v>
      </c>
      <c r="B1154" s="61" t="s">
        <v>218</v>
      </c>
      <c r="C1154" s="62">
        <v>20381</v>
      </c>
      <c r="D1154" s="62">
        <v>20851</v>
      </c>
      <c r="E1154" s="62">
        <v>20851</v>
      </c>
      <c r="F1154" s="62">
        <v>19368.28</v>
      </c>
      <c r="G1154" s="63">
        <v>20851</v>
      </c>
      <c r="H1154" s="63">
        <v>20851</v>
      </c>
    </row>
    <row r="1155" spans="1:10" x14ac:dyDescent="0.25">
      <c r="A1155" s="61" t="s">
        <v>1117</v>
      </c>
      <c r="B1155" s="61" t="s">
        <v>249</v>
      </c>
      <c r="C1155" s="62">
        <v>156</v>
      </c>
      <c r="D1155" s="62">
        <v>1109</v>
      </c>
      <c r="E1155" s="62">
        <v>1109</v>
      </c>
      <c r="F1155" s="62">
        <v>483.89</v>
      </c>
      <c r="G1155" s="63">
        <f>(G1136+G1138+G1142+G1147)*0.65%</f>
        <v>1860.8635500000003</v>
      </c>
      <c r="H1155" s="63">
        <f>(H1136+H1138+H1142+H1147)*0.65%</f>
        <v>1916.2994565000001</v>
      </c>
    </row>
    <row r="1156" spans="1:10" x14ac:dyDescent="0.25">
      <c r="A1156" s="61" t="s">
        <v>1118</v>
      </c>
      <c r="B1156" s="61" t="s">
        <v>249</v>
      </c>
      <c r="C1156" s="62">
        <v>168</v>
      </c>
      <c r="D1156" s="62">
        <v>154</v>
      </c>
      <c r="E1156" s="62">
        <v>154</v>
      </c>
      <c r="F1156" s="62">
        <v>83.13</v>
      </c>
      <c r="G1156" s="63">
        <f>(G1139+G1143)*0.65%</f>
        <v>186.11268000000001</v>
      </c>
      <c r="H1156" s="63">
        <f>(H1139+H1143)*0.65%</f>
        <v>191.69606040000002</v>
      </c>
    </row>
    <row r="1157" spans="1:10" x14ac:dyDescent="0.25">
      <c r="A1157" s="61" t="s">
        <v>1119</v>
      </c>
      <c r="B1157" s="61" t="s">
        <v>249</v>
      </c>
      <c r="C1157" s="62">
        <v>1902</v>
      </c>
      <c r="D1157" s="62">
        <v>1425</v>
      </c>
      <c r="E1157" s="62">
        <v>1425</v>
      </c>
      <c r="F1157" s="62">
        <v>1058.01</v>
      </c>
      <c r="G1157" s="63">
        <f>(G1136+G1140+G1144)*0.65%</f>
        <v>1934.7302000000002</v>
      </c>
      <c r="H1157" s="63">
        <f>(H1136+H1140+H1144)*0.65%</f>
        <v>1992.1871060000003</v>
      </c>
    </row>
    <row r="1158" spans="1:10" x14ac:dyDescent="0.25">
      <c r="A1158" s="61" t="s">
        <v>1120</v>
      </c>
      <c r="B1158" s="61" t="s">
        <v>249</v>
      </c>
      <c r="C1158" s="62">
        <v>40</v>
      </c>
      <c r="D1158" s="62">
        <v>194</v>
      </c>
      <c r="E1158" s="62">
        <v>194</v>
      </c>
      <c r="F1158" s="62">
        <v>27.89</v>
      </c>
      <c r="G1158" s="63">
        <f>(G1145+G1146)*0.65%</f>
        <v>0</v>
      </c>
      <c r="H1158" s="63">
        <f>(H1145+H1146)*0.65%</f>
        <v>0</v>
      </c>
    </row>
    <row r="1159" spans="1:10" x14ac:dyDescent="0.25">
      <c r="A1159" s="61" t="s">
        <v>1121</v>
      </c>
      <c r="B1159" s="61" t="s">
        <v>292</v>
      </c>
      <c r="C1159" s="62">
        <v>3915</v>
      </c>
      <c r="D1159" s="62">
        <v>8211</v>
      </c>
      <c r="E1159" s="62">
        <v>8211</v>
      </c>
      <c r="F1159" s="62">
        <v>8096.48</v>
      </c>
      <c r="G1159" s="63">
        <v>8211</v>
      </c>
      <c r="H1159" s="63">
        <f t="shared" si="62"/>
        <v>8457.33</v>
      </c>
    </row>
    <row r="1160" spans="1:10" x14ac:dyDescent="0.25">
      <c r="A1160" s="61" t="s">
        <v>1122</v>
      </c>
      <c r="B1160" s="61" t="s">
        <v>292</v>
      </c>
      <c r="C1160" s="62">
        <v>2143</v>
      </c>
      <c r="D1160" s="62">
        <v>241</v>
      </c>
      <c r="E1160" s="62">
        <v>241</v>
      </c>
      <c r="F1160" s="62">
        <v>1539.06</v>
      </c>
      <c r="G1160" s="63">
        <v>241</v>
      </c>
      <c r="H1160" s="63">
        <f t="shared" si="62"/>
        <v>248.23</v>
      </c>
    </row>
    <row r="1161" spans="1:10" x14ac:dyDescent="0.25">
      <c r="A1161" s="61" t="s">
        <v>1123</v>
      </c>
      <c r="B1161" s="61" t="s">
        <v>292</v>
      </c>
      <c r="C1161" s="62">
        <v>18168</v>
      </c>
      <c r="D1161" s="62">
        <v>12362</v>
      </c>
      <c r="E1161" s="62">
        <v>12362</v>
      </c>
      <c r="F1161" s="62">
        <v>14041.98</v>
      </c>
      <c r="G1161" s="63">
        <v>12362</v>
      </c>
      <c r="H1161" s="63">
        <f t="shared" si="62"/>
        <v>12732.86</v>
      </c>
    </row>
    <row r="1162" spans="1:10" x14ac:dyDescent="0.25">
      <c r="A1162" s="61" t="s">
        <v>1124</v>
      </c>
      <c r="B1162" s="61" t="s">
        <v>331</v>
      </c>
      <c r="C1162" s="62">
        <v>981</v>
      </c>
      <c r="D1162" s="62">
        <v>4905</v>
      </c>
      <c r="E1162" s="62">
        <v>4905</v>
      </c>
      <c r="F1162" s="62">
        <v>2127.9</v>
      </c>
      <c r="G1162" s="63">
        <f>(G1136+G1138+G1142+G1147)*0.75%</f>
        <v>2147.1502500000001</v>
      </c>
      <c r="H1162" s="63">
        <f>(H1136+H1138+H1142+H1147)*0.75%</f>
        <v>2211.1147574999995</v>
      </c>
    </row>
    <row r="1163" spans="1:10" x14ac:dyDescent="0.25">
      <c r="A1163" s="61" t="s">
        <v>1125</v>
      </c>
      <c r="B1163" s="61" t="s">
        <v>331</v>
      </c>
      <c r="C1163" s="62">
        <v>537</v>
      </c>
      <c r="D1163" s="62">
        <v>2202</v>
      </c>
      <c r="E1163" s="62">
        <v>2202</v>
      </c>
      <c r="F1163" s="62">
        <v>1020.03</v>
      </c>
      <c r="G1163" s="63">
        <f>(G1139+G1143)*0.75%</f>
        <v>214.74539999999999</v>
      </c>
      <c r="H1163" s="63">
        <f>(H1139+H1143)*0.75%</f>
        <v>221.18776199999999</v>
      </c>
    </row>
    <row r="1164" spans="1:10" x14ac:dyDescent="0.25">
      <c r="A1164" s="61" t="s">
        <v>1126</v>
      </c>
      <c r="B1164" s="61" t="s">
        <v>331</v>
      </c>
      <c r="C1164" s="62">
        <v>30522</v>
      </c>
      <c r="D1164" s="62">
        <v>7567</v>
      </c>
      <c r="E1164" s="62">
        <v>7567</v>
      </c>
      <c r="F1164" s="62">
        <v>19137.919999999998</v>
      </c>
      <c r="G1164" s="63">
        <f>(G1136+G1140+G1144)*0.75%</f>
        <v>2232.3809999999999</v>
      </c>
      <c r="H1164" s="63">
        <f>(H1136+H1140+H1144)*0.75%</f>
        <v>2298.6774300000002</v>
      </c>
    </row>
    <row r="1165" spans="1:10" ht="15.75" thickBot="1" x14ac:dyDescent="0.3">
      <c r="A1165" s="61" t="s">
        <v>1127</v>
      </c>
      <c r="B1165" s="61" t="s">
        <v>331</v>
      </c>
      <c r="C1165" s="65">
        <v>0</v>
      </c>
      <c r="D1165" s="65">
        <v>850</v>
      </c>
      <c r="E1165" s="65">
        <v>850</v>
      </c>
      <c r="F1165" s="65" t="s">
        <v>0</v>
      </c>
      <c r="G1165" s="66">
        <f>(G1145+G1146)*0.75%</f>
        <v>0</v>
      </c>
      <c r="H1165" s="66">
        <f>(H1145+H1146)*0.75%</f>
        <v>0</v>
      </c>
    </row>
    <row r="1166" spans="1:10" s="3" customFormat="1" x14ac:dyDescent="0.25">
      <c r="B1166" s="3" t="s">
        <v>1274</v>
      </c>
      <c r="C1166" s="6">
        <f>SUM(C1136:C1165)</f>
        <v>703089</v>
      </c>
      <c r="D1166" s="6">
        <f t="shared" ref="D1166:H1166" si="63">SUM(D1136:D1165)</f>
        <v>638531</v>
      </c>
      <c r="E1166" s="6">
        <f t="shared" si="63"/>
        <v>638531</v>
      </c>
      <c r="F1166" s="6">
        <f t="shared" si="63"/>
        <v>589440.00000000012</v>
      </c>
      <c r="G1166" s="8">
        <f t="shared" si="63"/>
        <v>566032.47126999998</v>
      </c>
      <c r="H1166" s="8">
        <f t="shared" si="63"/>
        <v>581862.57040810003</v>
      </c>
      <c r="J1166"/>
    </row>
    <row r="1167" spans="1:10" x14ac:dyDescent="0.25">
      <c r="C1167" s="4"/>
      <c r="D1167" s="4"/>
      <c r="E1167" s="4"/>
      <c r="F1167" s="4"/>
    </row>
    <row r="1168" spans="1:10" x14ac:dyDescent="0.25">
      <c r="A1168" s="61" t="s">
        <v>1128</v>
      </c>
      <c r="B1168" s="61" t="s">
        <v>1129</v>
      </c>
      <c r="C1168" s="62">
        <v>54468</v>
      </c>
      <c r="D1168" s="62">
        <v>52000</v>
      </c>
      <c r="E1168" s="62">
        <v>52000</v>
      </c>
      <c r="F1168" s="62">
        <v>45056.09</v>
      </c>
      <c r="G1168" s="63">
        <v>50000</v>
      </c>
      <c r="H1168" s="63">
        <v>50000</v>
      </c>
    </row>
    <row r="1169" spans="1:10" x14ac:dyDescent="0.25">
      <c r="A1169" s="61" t="s">
        <v>1130</v>
      </c>
      <c r="B1169" s="61" t="s">
        <v>1131</v>
      </c>
      <c r="C1169" s="62">
        <v>21985</v>
      </c>
      <c r="D1169" s="62">
        <v>23500</v>
      </c>
      <c r="E1169" s="62">
        <v>23500</v>
      </c>
      <c r="F1169" s="62">
        <v>22650</v>
      </c>
      <c r="G1169" s="63">
        <v>25000</v>
      </c>
      <c r="H1169" s="63">
        <v>25000</v>
      </c>
    </row>
    <row r="1170" spans="1:10" x14ac:dyDescent="0.25">
      <c r="A1170" s="61" t="s">
        <v>1132</v>
      </c>
      <c r="B1170" s="61" t="s">
        <v>380</v>
      </c>
      <c r="C1170" s="62" t="s">
        <v>0</v>
      </c>
      <c r="D1170" s="62">
        <v>500</v>
      </c>
      <c r="E1170" s="62">
        <v>500</v>
      </c>
      <c r="F1170" s="62" t="s">
        <v>0</v>
      </c>
      <c r="G1170" s="63">
        <v>0</v>
      </c>
      <c r="H1170" s="63">
        <v>0</v>
      </c>
    </row>
    <row r="1171" spans="1:10" x14ac:dyDescent="0.25">
      <c r="A1171" s="61" t="s">
        <v>1133</v>
      </c>
      <c r="B1171" s="61" t="s">
        <v>380</v>
      </c>
      <c r="C1171" s="62">
        <v>6300</v>
      </c>
      <c r="D1171" s="62">
        <v>4000</v>
      </c>
      <c r="E1171" s="62">
        <v>4000</v>
      </c>
      <c r="F1171" s="62">
        <v>4685.68</v>
      </c>
      <c r="G1171" s="63">
        <v>3200</v>
      </c>
      <c r="H1171" s="63">
        <v>3200</v>
      </c>
    </row>
    <row r="1172" spans="1:10" x14ac:dyDescent="0.25">
      <c r="A1172" s="61" t="s">
        <v>1134</v>
      </c>
      <c r="B1172" s="61" t="s">
        <v>380</v>
      </c>
      <c r="C1172" s="62">
        <v>9716</v>
      </c>
      <c r="D1172" s="62">
        <v>10000</v>
      </c>
      <c r="E1172" s="62">
        <v>10000</v>
      </c>
      <c r="F1172" s="62">
        <v>595.84</v>
      </c>
      <c r="G1172" s="63">
        <v>9000</v>
      </c>
      <c r="H1172" s="63">
        <v>9000</v>
      </c>
    </row>
    <row r="1173" spans="1:10" x14ac:dyDescent="0.25">
      <c r="A1173" s="61" t="s">
        <v>1135</v>
      </c>
      <c r="B1173" s="61" t="s">
        <v>380</v>
      </c>
      <c r="C1173" s="62">
        <v>9897</v>
      </c>
      <c r="D1173" s="62">
        <v>15000</v>
      </c>
      <c r="E1173" s="62">
        <v>15000</v>
      </c>
      <c r="F1173" s="62">
        <v>8320</v>
      </c>
      <c r="G1173" s="63">
        <v>10000</v>
      </c>
      <c r="H1173" s="63">
        <v>10000</v>
      </c>
    </row>
    <row r="1174" spans="1:10" x14ac:dyDescent="0.25">
      <c r="A1174" s="61" t="s">
        <v>1136</v>
      </c>
      <c r="B1174" s="61" t="s">
        <v>380</v>
      </c>
      <c r="C1174" s="62" t="s">
        <v>0</v>
      </c>
      <c r="D1174" s="62">
        <v>5000</v>
      </c>
      <c r="E1174" s="62">
        <v>5000</v>
      </c>
      <c r="F1174" s="62">
        <v>4595</v>
      </c>
      <c r="G1174" s="63">
        <v>5000</v>
      </c>
      <c r="H1174" s="63">
        <v>5000</v>
      </c>
    </row>
    <row r="1175" spans="1:10" x14ac:dyDescent="0.25">
      <c r="A1175" s="61" t="s">
        <v>1137</v>
      </c>
      <c r="B1175" s="61" t="s">
        <v>1445</v>
      </c>
      <c r="C1175" s="62">
        <v>10000</v>
      </c>
      <c r="D1175" s="62">
        <v>9000</v>
      </c>
      <c r="E1175" s="62">
        <v>9000</v>
      </c>
      <c r="F1175" s="62">
        <v>13751.84</v>
      </c>
      <c r="G1175" s="63">
        <v>9000</v>
      </c>
      <c r="H1175" s="63">
        <v>9000</v>
      </c>
    </row>
    <row r="1176" spans="1:10" x14ac:dyDescent="0.25">
      <c r="A1176" s="61" t="s">
        <v>1138</v>
      </c>
      <c r="B1176" s="61" t="s">
        <v>414</v>
      </c>
      <c r="C1176" s="62">
        <v>924</v>
      </c>
      <c r="D1176" s="62">
        <v>2000</v>
      </c>
      <c r="E1176" s="62">
        <v>2000</v>
      </c>
      <c r="F1176" s="62">
        <v>770.2</v>
      </c>
      <c r="G1176" s="63">
        <v>2000</v>
      </c>
      <c r="H1176" s="63">
        <v>2000</v>
      </c>
    </row>
    <row r="1177" spans="1:10" ht="15.75" thickBot="1" x14ac:dyDescent="0.3">
      <c r="A1177" s="61" t="s">
        <v>1139</v>
      </c>
      <c r="B1177" s="61" t="s">
        <v>414</v>
      </c>
      <c r="C1177" s="65">
        <v>8554</v>
      </c>
      <c r="D1177" s="65">
        <v>8000</v>
      </c>
      <c r="E1177" s="65">
        <v>8000</v>
      </c>
      <c r="F1177" s="65">
        <v>6646.56</v>
      </c>
      <c r="G1177" s="66">
        <v>8000</v>
      </c>
      <c r="H1177" s="66">
        <v>8000</v>
      </c>
    </row>
    <row r="1178" spans="1:10" s="3" customFormat="1" x14ac:dyDescent="0.25">
      <c r="B1178" s="3" t="s">
        <v>1298</v>
      </c>
      <c r="C1178" s="6">
        <f>SUM(C1168:C1177)</f>
        <v>121844</v>
      </c>
      <c r="D1178" s="6">
        <f t="shared" ref="D1178:H1178" si="64">SUM(D1168:D1177)</f>
        <v>129000</v>
      </c>
      <c r="E1178" s="6">
        <f t="shared" si="64"/>
        <v>129000</v>
      </c>
      <c r="F1178" s="6">
        <f t="shared" si="64"/>
        <v>107071.20999999998</v>
      </c>
      <c r="G1178" s="8">
        <f t="shared" si="64"/>
        <v>121200</v>
      </c>
      <c r="H1178" s="8">
        <f t="shared" si="64"/>
        <v>121200</v>
      </c>
      <c r="J1178"/>
    </row>
    <row r="1179" spans="1:10" x14ac:dyDescent="0.25">
      <c r="C1179" s="4"/>
      <c r="D1179" s="4"/>
      <c r="E1179" s="4"/>
      <c r="F1179" s="4"/>
    </row>
    <row r="1180" spans="1:10" x14ac:dyDescent="0.25">
      <c r="A1180" s="61" t="s">
        <v>1140</v>
      </c>
      <c r="B1180" s="61" t="s">
        <v>428</v>
      </c>
      <c r="C1180" s="62">
        <v>0</v>
      </c>
      <c r="D1180" s="62">
        <v>200</v>
      </c>
      <c r="E1180" s="62">
        <v>200</v>
      </c>
      <c r="F1180" s="62" t="s">
        <v>0</v>
      </c>
      <c r="G1180" s="63">
        <v>0</v>
      </c>
      <c r="H1180" s="63">
        <v>0</v>
      </c>
    </row>
    <row r="1181" spans="1:10" x14ac:dyDescent="0.25">
      <c r="A1181" s="61" t="s">
        <v>1141</v>
      </c>
      <c r="B1181" s="61" t="s">
        <v>439</v>
      </c>
      <c r="C1181" s="62">
        <v>603</v>
      </c>
      <c r="D1181" s="62">
        <v>3000</v>
      </c>
      <c r="E1181" s="62">
        <v>1881</v>
      </c>
      <c r="F1181" s="62">
        <v>4788.79</v>
      </c>
      <c r="G1181" s="63">
        <v>2000</v>
      </c>
      <c r="H1181" s="63">
        <v>2000</v>
      </c>
    </row>
    <row r="1182" spans="1:10" x14ac:dyDescent="0.25">
      <c r="A1182" s="61" t="s">
        <v>1142</v>
      </c>
      <c r="B1182" s="61" t="s">
        <v>439</v>
      </c>
      <c r="C1182" s="62">
        <v>624</v>
      </c>
      <c r="D1182" s="62">
        <v>2000</v>
      </c>
      <c r="E1182" s="62">
        <v>2000</v>
      </c>
      <c r="F1182" s="62">
        <v>1035.33</v>
      </c>
      <c r="G1182" s="63">
        <v>1600</v>
      </c>
      <c r="H1182" s="63">
        <v>1600</v>
      </c>
    </row>
    <row r="1183" spans="1:10" x14ac:dyDescent="0.25">
      <c r="A1183" s="61" t="s">
        <v>1143</v>
      </c>
      <c r="B1183" s="61" t="s">
        <v>439</v>
      </c>
      <c r="C1183" s="62">
        <v>3569</v>
      </c>
      <c r="D1183" s="62">
        <v>4500</v>
      </c>
      <c r="E1183" s="62">
        <v>4500</v>
      </c>
      <c r="F1183" s="62">
        <v>1761.75</v>
      </c>
      <c r="G1183" s="63">
        <v>4300</v>
      </c>
      <c r="H1183" s="63">
        <v>4300</v>
      </c>
    </row>
    <row r="1184" spans="1:10" x14ac:dyDescent="0.25">
      <c r="A1184" s="61" t="s">
        <v>1144</v>
      </c>
      <c r="B1184" s="61" t="s">
        <v>439</v>
      </c>
      <c r="C1184" s="62">
        <v>18180</v>
      </c>
      <c r="D1184" s="62">
        <v>16000</v>
      </c>
      <c r="E1184" s="62">
        <v>16000</v>
      </c>
      <c r="F1184" s="62">
        <v>5803.67</v>
      </c>
      <c r="G1184" s="63">
        <v>10000</v>
      </c>
      <c r="H1184" s="63">
        <v>10000</v>
      </c>
    </row>
    <row r="1185" spans="1:10" ht="15.75" thickBot="1" x14ac:dyDescent="0.3">
      <c r="A1185" s="61" t="s">
        <v>1145</v>
      </c>
      <c r="B1185" s="61" t="s">
        <v>1446</v>
      </c>
      <c r="C1185" s="65">
        <v>23486</v>
      </c>
      <c r="D1185" s="65">
        <v>18000</v>
      </c>
      <c r="E1185" s="65">
        <v>18000</v>
      </c>
      <c r="F1185" s="65">
        <v>19744.169999999998</v>
      </c>
      <c r="G1185" s="66">
        <v>18000</v>
      </c>
      <c r="H1185" s="66">
        <v>18000</v>
      </c>
    </row>
    <row r="1186" spans="1:10" s="3" customFormat="1" x14ac:dyDescent="0.25">
      <c r="B1186" s="3" t="s">
        <v>1320</v>
      </c>
      <c r="C1186" s="6">
        <f>SUM(C1180:C1185)</f>
        <v>46462</v>
      </c>
      <c r="D1186" s="6">
        <f t="shared" ref="D1186:H1186" si="65">SUM(D1180:D1185)</f>
        <v>43700</v>
      </c>
      <c r="E1186" s="6">
        <f t="shared" si="65"/>
        <v>42581</v>
      </c>
      <c r="F1186" s="6">
        <f t="shared" si="65"/>
        <v>33133.71</v>
      </c>
      <c r="G1186" s="8">
        <f t="shared" si="65"/>
        <v>35900</v>
      </c>
      <c r="H1186" s="8">
        <f t="shared" si="65"/>
        <v>35900</v>
      </c>
      <c r="J1186"/>
    </row>
    <row r="1187" spans="1:10" x14ac:dyDescent="0.25">
      <c r="C1187" s="4"/>
      <c r="D1187" s="4"/>
      <c r="E1187" s="4"/>
      <c r="F1187" s="4"/>
    </row>
    <row r="1188" spans="1:10" x14ac:dyDescent="0.25">
      <c r="A1188" s="61" t="s">
        <v>1146</v>
      </c>
      <c r="B1188" s="61" t="s">
        <v>525</v>
      </c>
      <c r="C1188" s="62">
        <v>1974</v>
      </c>
      <c r="D1188" s="62">
        <v>3000</v>
      </c>
      <c r="E1188" s="62">
        <v>3000</v>
      </c>
      <c r="F1188" s="62">
        <v>1827.01</v>
      </c>
      <c r="G1188" s="63">
        <v>4000</v>
      </c>
      <c r="H1188" s="63">
        <v>4000</v>
      </c>
    </row>
    <row r="1189" spans="1:10" x14ac:dyDescent="0.25">
      <c r="A1189" s="61" t="s">
        <v>1147</v>
      </c>
      <c r="B1189" s="61" t="s">
        <v>525</v>
      </c>
      <c r="C1189" s="62">
        <v>1663</v>
      </c>
      <c r="D1189" s="62">
        <v>2000</v>
      </c>
      <c r="E1189" s="62">
        <v>2000</v>
      </c>
      <c r="F1189" s="62">
        <v>890.72</v>
      </c>
      <c r="G1189" s="63">
        <v>2000</v>
      </c>
      <c r="H1189" s="63">
        <v>2000</v>
      </c>
    </row>
    <row r="1190" spans="1:10" x14ac:dyDescent="0.25">
      <c r="A1190" s="61" t="s">
        <v>1148</v>
      </c>
      <c r="B1190" s="61" t="s">
        <v>525</v>
      </c>
      <c r="C1190" s="62">
        <v>3167</v>
      </c>
      <c r="D1190" s="62">
        <v>12000</v>
      </c>
      <c r="E1190" s="62">
        <v>12000</v>
      </c>
      <c r="F1190" s="62">
        <v>8104.33</v>
      </c>
      <c r="G1190" s="63">
        <v>8000</v>
      </c>
      <c r="H1190" s="63">
        <v>8000</v>
      </c>
    </row>
    <row r="1191" spans="1:10" x14ac:dyDescent="0.25">
      <c r="A1191" s="61" t="s">
        <v>1149</v>
      </c>
      <c r="B1191" s="61" t="s">
        <v>1150</v>
      </c>
      <c r="C1191" s="62">
        <v>10000</v>
      </c>
      <c r="D1191" s="62">
        <v>13000</v>
      </c>
      <c r="E1191" s="62">
        <v>13000</v>
      </c>
      <c r="F1191" s="62">
        <v>12644.91</v>
      </c>
      <c r="G1191" s="63">
        <v>10000</v>
      </c>
      <c r="H1191" s="63">
        <v>10000</v>
      </c>
    </row>
    <row r="1192" spans="1:10" x14ac:dyDescent="0.25">
      <c r="A1192" s="61" t="s">
        <v>1151</v>
      </c>
      <c r="B1192" s="61" t="s">
        <v>972</v>
      </c>
      <c r="C1192" s="62">
        <v>8215</v>
      </c>
      <c r="D1192" s="62">
        <v>8500</v>
      </c>
      <c r="E1192" s="62">
        <v>8500</v>
      </c>
      <c r="F1192" s="62">
        <v>9416</v>
      </c>
      <c r="G1192" s="63">
        <v>10000</v>
      </c>
      <c r="H1192" s="63">
        <v>10000</v>
      </c>
    </row>
    <row r="1193" spans="1:10" x14ac:dyDescent="0.25">
      <c r="A1193" s="61" t="s">
        <v>1152</v>
      </c>
      <c r="B1193" s="61" t="s">
        <v>1153</v>
      </c>
      <c r="C1193" s="62">
        <v>5801</v>
      </c>
      <c r="D1193" s="62">
        <v>5000</v>
      </c>
      <c r="E1193" s="62">
        <v>5000</v>
      </c>
      <c r="F1193" s="62" t="s">
        <v>0</v>
      </c>
      <c r="G1193" s="63">
        <v>4000</v>
      </c>
      <c r="H1193" s="63">
        <v>4000</v>
      </c>
    </row>
    <row r="1194" spans="1:10" x14ac:dyDescent="0.25">
      <c r="A1194" s="61" t="s">
        <v>1154</v>
      </c>
      <c r="B1194" s="61" t="s">
        <v>545</v>
      </c>
      <c r="C1194" s="62">
        <v>357</v>
      </c>
      <c r="D1194" s="62">
        <v>2000</v>
      </c>
      <c r="E1194" s="62">
        <v>2000</v>
      </c>
      <c r="F1194" s="62" t="s">
        <v>0</v>
      </c>
      <c r="G1194" s="63">
        <v>1000</v>
      </c>
      <c r="H1194" s="63">
        <v>1000</v>
      </c>
    </row>
    <row r="1195" spans="1:10" x14ac:dyDescent="0.25">
      <c r="A1195" s="61" t="s">
        <v>1155</v>
      </c>
      <c r="B1195" s="61" t="s">
        <v>545</v>
      </c>
      <c r="C1195" s="62">
        <v>3625</v>
      </c>
      <c r="D1195" s="62">
        <v>1900</v>
      </c>
      <c r="E1195" s="62">
        <v>1900</v>
      </c>
      <c r="F1195" s="62" t="s">
        <v>0</v>
      </c>
      <c r="G1195" s="63">
        <v>1520</v>
      </c>
      <c r="H1195" s="63">
        <v>1520</v>
      </c>
    </row>
    <row r="1196" spans="1:10" x14ac:dyDescent="0.25">
      <c r="A1196" s="61" t="s">
        <v>1156</v>
      </c>
      <c r="B1196" s="61" t="s">
        <v>545</v>
      </c>
      <c r="C1196" s="62">
        <v>1130</v>
      </c>
      <c r="D1196" s="62">
        <v>3000</v>
      </c>
      <c r="E1196" s="62">
        <v>3000</v>
      </c>
      <c r="F1196" s="62">
        <v>1130</v>
      </c>
      <c r="G1196" s="63">
        <v>1200</v>
      </c>
      <c r="H1196" s="63">
        <v>1200</v>
      </c>
    </row>
    <row r="1197" spans="1:10" ht="15.75" thickBot="1" x14ac:dyDescent="0.3">
      <c r="A1197" s="61" t="s">
        <v>1157</v>
      </c>
      <c r="B1197" s="61" t="s">
        <v>545</v>
      </c>
      <c r="C1197" s="65">
        <v>15793</v>
      </c>
      <c r="D1197" s="65">
        <v>20500</v>
      </c>
      <c r="E1197" s="65">
        <v>20500</v>
      </c>
      <c r="F1197" s="65">
        <v>15622.43</v>
      </c>
      <c r="G1197" s="66">
        <v>20500</v>
      </c>
      <c r="H1197" s="66">
        <v>20500</v>
      </c>
    </row>
    <row r="1198" spans="1:10" s="3" customFormat="1" x14ac:dyDescent="0.25">
      <c r="B1198" s="3" t="s">
        <v>1359</v>
      </c>
      <c r="C1198" s="6">
        <f>SUM(C1188:C1197)</f>
        <v>51725</v>
      </c>
      <c r="D1198" s="6">
        <f t="shared" ref="D1198:H1198" si="66">SUM(D1188:D1197)</f>
        <v>70900</v>
      </c>
      <c r="E1198" s="6">
        <f t="shared" si="66"/>
        <v>70900</v>
      </c>
      <c r="F1198" s="6">
        <f t="shared" si="66"/>
        <v>49635.4</v>
      </c>
      <c r="G1198" s="8">
        <f t="shared" si="66"/>
        <v>62220</v>
      </c>
      <c r="H1198" s="8">
        <f t="shared" si="66"/>
        <v>62220</v>
      </c>
      <c r="J1198"/>
    </row>
    <row r="1199" spans="1:10" x14ac:dyDescent="0.25">
      <c r="C1199" s="4"/>
      <c r="D1199" s="4"/>
      <c r="E1199" s="4"/>
      <c r="F1199" s="4"/>
    </row>
    <row r="1200" spans="1:10" s="3" customFormat="1" x14ac:dyDescent="0.25">
      <c r="A1200" s="3" t="s">
        <v>1158</v>
      </c>
      <c r="B1200" s="3" t="s">
        <v>1447</v>
      </c>
      <c r="C1200" s="6">
        <v>923120</v>
      </c>
      <c r="D1200" s="6">
        <v>882131</v>
      </c>
      <c r="E1200" s="6">
        <v>881012</v>
      </c>
      <c r="F1200" s="6">
        <v>779280.32</v>
      </c>
      <c r="G1200" s="14">
        <f>G1198+G1186+G1178+G1166</f>
        <v>785352.47126999998</v>
      </c>
      <c r="H1200" s="14">
        <f>H1198+H1186+H1178+H1166</f>
        <v>801182.57040810003</v>
      </c>
      <c r="J1200"/>
    </row>
    <row r="1201" spans="1:8" x14ac:dyDescent="0.25">
      <c r="C1201" s="4"/>
      <c r="D1201" s="4"/>
      <c r="E1201" s="4"/>
      <c r="F1201" s="4"/>
    </row>
    <row r="1202" spans="1:8" x14ac:dyDescent="0.25">
      <c r="A1202" s="61" t="s">
        <v>1159</v>
      </c>
      <c r="B1202" s="61" t="s">
        <v>72</v>
      </c>
      <c r="C1202" s="62">
        <v>79983</v>
      </c>
      <c r="D1202" s="62">
        <v>77597</v>
      </c>
      <c r="E1202" s="62">
        <v>77597</v>
      </c>
      <c r="F1202" s="62">
        <v>73283.759999999995</v>
      </c>
      <c r="G1202" s="63">
        <f>80976+38272</f>
        <v>119248</v>
      </c>
      <c r="H1202" s="62">
        <f>G1202+(G1202*3%)</f>
        <v>122825.44</v>
      </c>
    </row>
    <row r="1203" spans="1:8" x14ac:dyDescent="0.25">
      <c r="A1203" s="75" t="s">
        <v>1160</v>
      </c>
      <c r="B1203" s="75" t="s">
        <v>109</v>
      </c>
      <c r="C1203" s="63">
        <v>1266</v>
      </c>
      <c r="D1203" s="63" t="s">
        <v>0</v>
      </c>
      <c r="E1203" s="63" t="s">
        <v>0</v>
      </c>
      <c r="F1203" s="63">
        <v>109.75</v>
      </c>
      <c r="G1203" s="63">
        <v>0</v>
      </c>
      <c r="H1203" s="62">
        <f t="shared" ref="H1203:H1215" si="67">G1203+(G1203*3%)</f>
        <v>0</v>
      </c>
    </row>
    <row r="1204" spans="1:8" x14ac:dyDescent="0.25">
      <c r="A1204" s="75" t="s">
        <v>1161</v>
      </c>
      <c r="B1204" s="75" t="s">
        <v>109</v>
      </c>
      <c r="C1204" s="63">
        <v>130124</v>
      </c>
      <c r="D1204" s="63">
        <v>10000</v>
      </c>
      <c r="E1204" s="63">
        <v>10000</v>
      </c>
      <c r="F1204" s="63">
        <v>82921.279999999999</v>
      </c>
      <c r="G1204" s="63">
        <v>95000</v>
      </c>
      <c r="H1204" s="62">
        <v>95000</v>
      </c>
    </row>
    <row r="1205" spans="1:8" x14ac:dyDescent="0.25">
      <c r="A1205" s="75" t="s">
        <v>1162</v>
      </c>
      <c r="B1205" s="75" t="s">
        <v>126</v>
      </c>
      <c r="C1205" s="63">
        <v>2364</v>
      </c>
      <c r="D1205" s="63">
        <v>10000</v>
      </c>
      <c r="E1205" s="63">
        <v>10000</v>
      </c>
      <c r="F1205" s="63" t="s">
        <v>0</v>
      </c>
      <c r="G1205" s="63">
        <v>0</v>
      </c>
      <c r="H1205" s="62">
        <f t="shared" si="67"/>
        <v>0</v>
      </c>
    </row>
    <row r="1206" spans="1:8" x14ac:dyDescent="0.25">
      <c r="A1206" s="61" t="s">
        <v>1164</v>
      </c>
      <c r="B1206" s="61" t="s">
        <v>141</v>
      </c>
      <c r="C1206" s="62">
        <v>28698</v>
      </c>
      <c r="D1206" s="62">
        <v>28246</v>
      </c>
      <c r="E1206" s="62">
        <v>28246</v>
      </c>
      <c r="F1206" s="62">
        <v>15550.68</v>
      </c>
      <c r="G1206" s="63">
        <f>21008+38272</f>
        <v>59280</v>
      </c>
      <c r="H1206" s="62">
        <f t="shared" si="67"/>
        <v>61058.400000000001</v>
      </c>
    </row>
    <row r="1207" spans="1:8" x14ac:dyDescent="0.25">
      <c r="A1207" s="61" t="s">
        <v>1165</v>
      </c>
      <c r="B1207" s="61" t="s">
        <v>141</v>
      </c>
      <c r="C1207" s="62">
        <v>727468</v>
      </c>
      <c r="D1207" s="62">
        <v>677550</v>
      </c>
      <c r="E1207" s="62">
        <v>677550</v>
      </c>
      <c r="F1207" s="62">
        <v>733997.44</v>
      </c>
      <c r="G1207" s="63">
        <f>536245.21+178813.24</f>
        <v>715058.45</v>
      </c>
      <c r="H1207" s="62">
        <f t="shared" si="67"/>
        <v>736510.20349999995</v>
      </c>
    </row>
    <row r="1208" spans="1:8" x14ac:dyDescent="0.25">
      <c r="A1208" s="61" t="s">
        <v>1166</v>
      </c>
      <c r="B1208" s="61" t="s">
        <v>172</v>
      </c>
      <c r="C1208" s="62">
        <v>1597</v>
      </c>
      <c r="D1208" s="62">
        <v>2383</v>
      </c>
      <c r="E1208" s="62">
        <v>2383</v>
      </c>
      <c r="F1208" s="62">
        <v>1171.99</v>
      </c>
      <c r="G1208" s="63">
        <f>(G1202+G1203+G1205+G1206)*1.45%</f>
        <v>2588.6559999999999</v>
      </c>
      <c r="H1208" s="63">
        <f>(H1202+H1203+H1205+H1206)*1.45%</f>
        <v>2666.3156799999997</v>
      </c>
    </row>
    <row r="1209" spans="1:8" x14ac:dyDescent="0.25">
      <c r="A1209" s="61" t="s">
        <v>1167</v>
      </c>
      <c r="B1209" s="61" t="s">
        <v>172</v>
      </c>
      <c r="C1209" s="62">
        <v>11671</v>
      </c>
      <c r="D1209" s="62">
        <v>10649</v>
      </c>
      <c r="E1209" s="62">
        <v>10649</v>
      </c>
      <c r="F1209" s="62">
        <v>11453.54</v>
      </c>
      <c r="G1209" s="63">
        <f>(G1204+G1207)*1.45%</f>
        <v>11745.847524999999</v>
      </c>
      <c r="H1209" s="63">
        <f>(H1204+H1207)*1.45%</f>
        <v>12056.897950749999</v>
      </c>
    </row>
    <row r="1210" spans="1:8" x14ac:dyDescent="0.25">
      <c r="A1210" s="61" t="s">
        <v>1168</v>
      </c>
      <c r="B1210" s="61" t="s">
        <v>218</v>
      </c>
      <c r="C1210" s="62">
        <v>9354</v>
      </c>
      <c r="D1210" s="62">
        <v>12243</v>
      </c>
      <c r="E1210" s="62">
        <v>12243</v>
      </c>
      <c r="F1210" s="62">
        <v>6753.55</v>
      </c>
      <c r="G1210" s="63">
        <v>12243</v>
      </c>
      <c r="H1210" s="63">
        <v>12243</v>
      </c>
    </row>
    <row r="1211" spans="1:8" x14ac:dyDescent="0.25">
      <c r="A1211" s="61" t="s">
        <v>1169</v>
      </c>
      <c r="B1211" s="61" t="s">
        <v>218</v>
      </c>
      <c r="C1211" s="62">
        <v>127122</v>
      </c>
      <c r="D1211" s="62">
        <v>132709</v>
      </c>
      <c r="E1211" s="62">
        <v>132709</v>
      </c>
      <c r="F1211" s="62">
        <v>133123.1</v>
      </c>
      <c r="G1211" s="63">
        <v>132709</v>
      </c>
      <c r="H1211" s="63">
        <v>132709</v>
      </c>
    </row>
    <row r="1212" spans="1:8" x14ac:dyDescent="0.25">
      <c r="A1212" s="61" t="s">
        <v>1170</v>
      </c>
      <c r="B1212" s="61" t="s">
        <v>249</v>
      </c>
      <c r="C1212" s="62">
        <v>6029</v>
      </c>
      <c r="D1212" s="62">
        <v>9041</v>
      </c>
      <c r="E1212" s="62">
        <v>9041</v>
      </c>
      <c r="F1212" s="62">
        <v>1344.7</v>
      </c>
      <c r="G1212" s="63">
        <f>(G1202+G1203+G1205+G1206)*0.65%</f>
        <v>1160.432</v>
      </c>
      <c r="H1212" s="63">
        <f>(H1202+H1203+H1205+H1206)*0.65%</f>
        <v>1195.24496</v>
      </c>
    </row>
    <row r="1213" spans="1:8" x14ac:dyDescent="0.25">
      <c r="A1213" s="61" t="s">
        <v>1171</v>
      </c>
      <c r="B1213" s="61" t="s">
        <v>249</v>
      </c>
      <c r="C1213" s="62">
        <v>45726</v>
      </c>
      <c r="D1213" s="62">
        <v>42260</v>
      </c>
      <c r="E1213" s="62">
        <v>42260</v>
      </c>
      <c r="F1213" s="62">
        <v>44302.25</v>
      </c>
      <c r="G1213" s="63">
        <f>(G1204+G1207)*0.65%</f>
        <v>5265.3799250000002</v>
      </c>
      <c r="H1213" s="63">
        <f>(H1204+H1207)*0.65%</f>
        <v>5404.8163227499999</v>
      </c>
    </row>
    <row r="1214" spans="1:8" x14ac:dyDescent="0.25">
      <c r="A1214" s="61" t="s">
        <v>1172</v>
      </c>
      <c r="B1214" s="61" t="s">
        <v>292</v>
      </c>
      <c r="C1214" s="62">
        <v>8376</v>
      </c>
      <c r="D1214" s="62">
        <v>3587</v>
      </c>
      <c r="E1214" s="62">
        <v>3587</v>
      </c>
      <c r="F1214" s="62">
        <v>5326.21</v>
      </c>
      <c r="G1214" s="63">
        <v>3587</v>
      </c>
      <c r="H1214" s="62">
        <f t="shared" si="67"/>
        <v>3694.61</v>
      </c>
    </row>
    <row r="1215" spans="1:8" x14ac:dyDescent="0.25">
      <c r="A1215" s="61" t="s">
        <v>1173</v>
      </c>
      <c r="B1215" s="61" t="s">
        <v>292</v>
      </c>
      <c r="C1215" s="62">
        <v>63558</v>
      </c>
      <c r="D1215" s="62">
        <v>59706</v>
      </c>
      <c r="E1215" s="62">
        <v>59706</v>
      </c>
      <c r="F1215" s="62">
        <v>61321.8</v>
      </c>
      <c r="G1215" s="63">
        <v>59706</v>
      </c>
      <c r="H1215" s="62">
        <f t="shared" si="67"/>
        <v>61497.18</v>
      </c>
    </row>
    <row r="1216" spans="1:8" x14ac:dyDescent="0.25">
      <c r="A1216" s="61" t="s">
        <v>1174</v>
      </c>
      <c r="B1216" s="61" t="s">
        <v>331</v>
      </c>
      <c r="C1216" s="62">
        <v>2797</v>
      </c>
      <c r="D1216" s="62">
        <v>14029</v>
      </c>
      <c r="E1216" s="62">
        <v>14029</v>
      </c>
      <c r="F1216" s="62">
        <v>3460.44</v>
      </c>
      <c r="G1216" s="63">
        <f>(G1202+G1203+G1205+G1206)*0.75%</f>
        <v>1338.96</v>
      </c>
      <c r="H1216" s="63">
        <f>(H1202+H1203+H1205+H1206)*0.75%</f>
        <v>1379.1288</v>
      </c>
    </row>
    <row r="1217" spans="1:10" ht="15.75" thickBot="1" x14ac:dyDescent="0.3">
      <c r="A1217" s="61" t="s">
        <v>1175</v>
      </c>
      <c r="B1217" s="61" t="s">
        <v>331</v>
      </c>
      <c r="C1217" s="65">
        <v>24312</v>
      </c>
      <c r="D1217" s="65">
        <v>16471</v>
      </c>
      <c r="E1217" s="65">
        <v>16471</v>
      </c>
      <c r="F1217" s="65">
        <v>20339.53</v>
      </c>
      <c r="G1217" s="66">
        <f>(G1204+G1207)*0.75%</f>
        <v>6075.4383749999997</v>
      </c>
      <c r="H1217" s="66">
        <f>(H1204+H1207)*0.75%</f>
        <v>6236.326526249999</v>
      </c>
    </row>
    <row r="1218" spans="1:10" s="3" customFormat="1" x14ac:dyDescent="0.25">
      <c r="B1218" s="3" t="s">
        <v>1274</v>
      </c>
      <c r="C1218" s="6">
        <f>SUM(C1202:C1217)</f>
        <v>1270445</v>
      </c>
      <c r="D1218" s="6">
        <f t="shared" ref="D1218:H1218" si="68">SUM(D1202:D1217)</f>
        <v>1106471</v>
      </c>
      <c r="E1218" s="6">
        <f t="shared" si="68"/>
        <v>1106471</v>
      </c>
      <c r="F1218" s="6">
        <f t="shared" si="68"/>
        <v>1194460.02</v>
      </c>
      <c r="G1218" s="8">
        <f t="shared" si="68"/>
        <v>1225006.1638249997</v>
      </c>
      <c r="H1218" s="8">
        <f t="shared" si="68"/>
        <v>1254476.5637397501</v>
      </c>
      <c r="J1218"/>
    </row>
    <row r="1219" spans="1:10" x14ac:dyDescent="0.25">
      <c r="C1219" s="4"/>
      <c r="D1219" s="4"/>
      <c r="E1219" s="4"/>
      <c r="F1219" s="4"/>
    </row>
    <row r="1220" spans="1:10" x14ac:dyDescent="0.25">
      <c r="A1220" s="61" t="s">
        <v>1176</v>
      </c>
      <c r="B1220" s="61" t="s">
        <v>380</v>
      </c>
      <c r="C1220" s="62">
        <v>90567</v>
      </c>
      <c r="D1220" s="62">
        <v>30000</v>
      </c>
      <c r="E1220" s="62">
        <v>30000</v>
      </c>
      <c r="F1220" s="62">
        <v>55895.27</v>
      </c>
      <c r="G1220" s="63">
        <v>85000</v>
      </c>
      <c r="H1220" s="63">
        <v>85000</v>
      </c>
    </row>
    <row r="1221" spans="1:10" x14ac:dyDescent="0.25">
      <c r="A1221" s="61" t="s">
        <v>1177</v>
      </c>
      <c r="B1221" s="61" t="s">
        <v>395</v>
      </c>
      <c r="C1221" s="62" t="s">
        <v>0</v>
      </c>
      <c r="D1221" s="62" t="s">
        <v>0</v>
      </c>
      <c r="E1221" s="62" t="s">
        <v>0</v>
      </c>
      <c r="F1221" s="62">
        <v>15235.5</v>
      </c>
      <c r="G1221" s="63">
        <v>0</v>
      </c>
      <c r="H1221" s="63">
        <v>0</v>
      </c>
    </row>
    <row r="1222" spans="1:10" x14ac:dyDescent="0.25">
      <c r="A1222" s="61" t="s">
        <v>1178</v>
      </c>
      <c r="B1222" s="61" t="s">
        <v>1448</v>
      </c>
      <c r="C1222" s="62">
        <v>75235</v>
      </c>
      <c r="D1222" s="62">
        <v>30000</v>
      </c>
      <c r="E1222" s="62">
        <v>30000</v>
      </c>
      <c r="F1222" s="62">
        <v>41724.32</v>
      </c>
      <c r="G1222" s="63">
        <v>60000</v>
      </c>
      <c r="H1222" s="63">
        <v>60000</v>
      </c>
    </row>
    <row r="1223" spans="1:10" x14ac:dyDescent="0.25">
      <c r="A1223" s="61" t="s">
        <v>1179</v>
      </c>
      <c r="B1223" s="61" t="s">
        <v>1449</v>
      </c>
      <c r="C1223" s="62">
        <v>508923</v>
      </c>
      <c r="D1223" s="62">
        <v>575000</v>
      </c>
      <c r="E1223" s="62">
        <v>575000</v>
      </c>
      <c r="F1223" s="62">
        <v>506696.48</v>
      </c>
      <c r="G1223" s="63">
        <v>575000</v>
      </c>
      <c r="H1223" s="63">
        <v>575000</v>
      </c>
    </row>
    <row r="1224" spans="1:10" x14ac:dyDescent="0.25">
      <c r="A1224" s="61" t="s">
        <v>1180</v>
      </c>
      <c r="B1224" s="61" t="s">
        <v>1450</v>
      </c>
      <c r="C1224" s="62">
        <v>74845</v>
      </c>
      <c r="D1224" s="62">
        <v>140000</v>
      </c>
      <c r="E1224" s="62">
        <v>140000</v>
      </c>
      <c r="F1224" s="62">
        <v>96687.23</v>
      </c>
      <c r="G1224" s="63">
        <v>140000</v>
      </c>
      <c r="H1224" s="63">
        <v>140000</v>
      </c>
    </row>
    <row r="1225" spans="1:10" x14ac:dyDescent="0.25">
      <c r="A1225" s="61" t="s">
        <v>1181</v>
      </c>
      <c r="B1225" s="61" t="s">
        <v>1451</v>
      </c>
      <c r="C1225" s="62">
        <v>164368</v>
      </c>
      <c r="D1225" s="62">
        <v>160000</v>
      </c>
      <c r="E1225" s="62">
        <v>160000</v>
      </c>
      <c r="F1225" s="62">
        <v>129999.96</v>
      </c>
      <c r="G1225" s="63">
        <v>160000</v>
      </c>
      <c r="H1225" s="63">
        <v>160000</v>
      </c>
    </row>
    <row r="1226" spans="1:10" x14ac:dyDescent="0.25">
      <c r="A1226" s="61" t="s">
        <v>1182</v>
      </c>
      <c r="B1226" s="61" t="s">
        <v>1452</v>
      </c>
      <c r="C1226" s="62">
        <v>69188</v>
      </c>
      <c r="D1226" s="62">
        <v>120000</v>
      </c>
      <c r="E1226" s="62">
        <v>120000</v>
      </c>
      <c r="F1226" s="62">
        <v>173373.14</v>
      </c>
      <c r="G1226" s="63">
        <v>120000</v>
      </c>
      <c r="H1226" s="63">
        <v>120000</v>
      </c>
    </row>
    <row r="1227" spans="1:10" x14ac:dyDescent="0.25">
      <c r="A1227" s="61" t="s">
        <v>1183</v>
      </c>
      <c r="B1227" s="61" t="s">
        <v>766</v>
      </c>
      <c r="C1227" s="62" t="s">
        <v>0</v>
      </c>
      <c r="D1227" s="62">
        <v>500</v>
      </c>
      <c r="E1227" s="62" t="s">
        <v>0</v>
      </c>
      <c r="F1227" s="62" t="s">
        <v>0</v>
      </c>
      <c r="G1227" s="63">
        <v>0</v>
      </c>
      <c r="H1227" s="63">
        <v>0</v>
      </c>
    </row>
    <row r="1228" spans="1:10" ht="15.75" thickBot="1" x14ac:dyDescent="0.3">
      <c r="A1228" s="61" t="s">
        <v>1184</v>
      </c>
      <c r="B1228" s="61" t="s">
        <v>414</v>
      </c>
      <c r="C1228" s="65">
        <v>3784</v>
      </c>
      <c r="D1228" s="65">
        <v>5000</v>
      </c>
      <c r="E1228" s="65">
        <v>5000</v>
      </c>
      <c r="F1228" s="65">
        <v>4236.0200000000004</v>
      </c>
      <c r="G1228" s="66">
        <v>5000</v>
      </c>
      <c r="H1228" s="66">
        <v>5000</v>
      </c>
    </row>
    <row r="1229" spans="1:10" s="3" customFormat="1" x14ac:dyDescent="0.25">
      <c r="B1229" s="3" t="s">
        <v>1298</v>
      </c>
      <c r="C1229" s="6">
        <f>SUM(C1220:C1228)</f>
        <v>986910</v>
      </c>
      <c r="D1229" s="6">
        <f t="shared" ref="D1229:H1229" si="69">SUM(D1220:D1228)</f>
        <v>1060500</v>
      </c>
      <c r="E1229" s="6">
        <f t="shared" si="69"/>
        <v>1060000</v>
      </c>
      <c r="F1229" s="6">
        <f t="shared" si="69"/>
        <v>1023847.9199999999</v>
      </c>
      <c r="G1229" s="8">
        <f t="shared" si="69"/>
        <v>1145000</v>
      </c>
      <c r="H1229" s="8">
        <f t="shared" si="69"/>
        <v>1145000</v>
      </c>
      <c r="J1229"/>
    </row>
    <row r="1230" spans="1:10" x14ac:dyDescent="0.25">
      <c r="C1230" s="4"/>
      <c r="D1230" s="4"/>
      <c r="E1230" s="4"/>
      <c r="F1230" s="4"/>
    </row>
    <row r="1231" spans="1:10" x14ac:dyDescent="0.25">
      <c r="A1231" s="61" t="s">
        <v>1185</v>
      </c>
      <c r="B1231" s="61" t="s">
        <v>421</v>
      </c>
      <c r="C1231" s="62">
        <v>0</v>
      </c>
      <c r="D1231" s="62">
        <v>9000</v>
      </c>
      <c r="E1231" s="62">
        <v>9000</v>
      </c>
      <c r="F1231" s="62" t="s">
        <v>0</v>
      </c>
      <c r="G1231" s="63">
        <v>9000</v>
      </c>
      <c r="H1231" s="63">
        <v>9000</v>
      </c>
    </row>
    <row r="1232" spans="1:10" x14ac:dyDescent="0.25">
      <c r="A1232" s="61" t="s">
        <v>1186</v>
      </c>
      <c r="B1232" s="61" t="s">
        <v>1453</v>
      </c>
      <c r="C1232" s="62">
        <v>183163</v>
      </c>
      <c r="D1232" s="62">
        <v>75000</v>
      </c>
      <c r="E1232" s="62">
        <v>75000</v>
      </c>
      <c r="F1232" s="62">
        <v>80481.05</v>
      </c>
      <c r="G1232" s="63">
        <v>80000</v>
      </c>
      <c r="H1232" s="63">
        <v>80000</v>
      </c>
    </row>
    <row r="1233" spans="1:10" x14ac:dyDescent="0.25">
      <c r="A1233" s="61" t="s">
        <v>1187</v>
      </c>
      <c r="B1233" s="61" t="s">
        <v>1454</v>
      </c>
      <c r="C1233" s="62">
        <v>189810</v>
      </c>
      <c r="D1233" s="62">
        <v>130000</v>
      </c>
      <c r="E1233" s="62">
        <v>130000</v>
      </c>
      <c r="F1233" s="62">
        <v>165191.06</v>
      </c>
      <c r="G1233" s="63">
        <v>110000</v>
      </c>
      <c r="H1233" s="63">
        <v>110000</v>
      </c>
    </row>
    <row r="1234" spans="1:10" x14ac:dyDescent="0.25">
      <c r="A1234" s="61" t="s">
        <v>1188</v>
      </c>
      <c r="B1234" s="61" t="s">
        <v>1455</v>
      </c>
      <c r="C1234" s="62">
        <v>54272</v>
      </c>
      <c r="D1234" s="62">
        <v>25000</v>
      </c>
      <c r="E1234" s="62">
        <v>25000</v>
      </c>
      <c r="F1234" s="62">
        <v>30662.17</v>
      </c>
      <c r="G1234" s="63">
        <v>20000</v>
      </c>
      <c r="H1234" s="63">
        <v>20000</v>
      </c>
    </row>
    <row r="1235" spans="1:10" x14ac:dyDescent="0.25">
      <c r="A1235" s="61" t="s">
        <v>1189</v>
      </c>
      <c r="B1235" s="61" t="s">
        <v>1456</v>
      </c>
      <c r="C1235" s="62">
        <v>1150</v>
      </c>
      <c r="D1235" s="62">
        <v>200</v>
      </c>
      <c r="E1235" s="62">
        <v>200</v>
      </c>
      <c r="F1235" s="62">
        <v>140.21</v>
      </c>
      <c r="G1235" s="63">
        <v>200</v>
      </c>
      <c r="H1235" s="63">
        <v>200</v>
      </c>
    </row>
    <row r="1236" spans="1:10" ht="15.75" thickBot="1" x14ac:dyDescent="0.3">
      <c r="A1236" s="61" t="s">
        <v>1190</v>
      </c>
      <c r="B1236" s="61" t="s">
        <v>434</v>
      </c>
      <c r="C1236" s="65">
        <v>48165</v>
      </c>
      <c r="D1236" s="65">
        <v>25000</v>
      </c>
      <c r="E1236" s="65">
        <v>15076.33</v>
      </c>
      <c r="F1236" s="65">
        <v>15076.33</v>
      </c>
      <c r="G1236" s="66">
        <v>25000</v>
      </c>
      <c r="H1236" s="66">
        <v>25000</v>
      </c>
    </row>
    <row r="1237" spans="1:10" s="3" customFormat="1" x14ac:dyDescent="0.25">
      <c r="B1237" s="3" t="s">
        <v>1320</v>
      </c>
      <c r="C1237" s="6">
        <f>SUM(C1231:C1236)</f>
        <v>476560</v>
      </c>
      <c r="D1237" s="6">
        <f t="shared" ref="D1237:H1237" si="70">SUM(D1231:D1236)</f>
        <v>264200</v>
      </c>
      <c r="E1237" s="6">
        <f t="shared" si="70"/>
        <v>254276.33</v>
      </c>
      <c r="F1237" s="6">
        <f t="shared" si="70"/>
        <v>291550.82</v>
      </c>
      <c r="G1237" s="8">
        <f t="shared" si="70"/>
        <v>244200</v>
      </c>
      <c r="H1237" s="8">
        <f t="shared" si="70"/>
        <v>244200</v>
      </c>
      <c r="J1237"/>
    </row>
    <row r="1238" spans="1:10" x14ac:dyDescent="0.25">
      <c r="C1238" s="4"/>
      <c r="D1238" s="4"/>
      <c r="E1238" s="4"/>
      <c r="F1238" s="4"/>
    </row>
    <row r="1239" spans="1:10" x14ac:dyDescent="0.25">
      <c r="A1239" s="61" t="s">
        <v>1191</v>
      </c>
      <c r="B1239" s="61" t="s">
        <v>525</v>
      </c>
      <c r="C1239" s="62">
        <v>1799</v>
      </c>
      <c r="D1239" s="62">
        <v>1000</v>
      </c>
      <c r="E1239" s="62">
        <v>3337.91</v>
      </c>
      <c r="F1239" s="62">
        <v>3531.77</v>
      </c>
      <c r="G1239" s="63">
        <v>1000</v>
      </c>
      <c r="H1239" s="63">
        <v>1000</v>
      </c>
    </row>
    <row r="1240" spans="1:10" ht="15.75" thickBot="1" x14ac:dyDescent="0.3">
      <c r="A1240" s="61" t="s">
        <v>1192</v>
      </c>
      <c r="B1240" s="61" t="s">
        <v>972</v>
      </c>
      <c r="C1240" s="65">
        <v>106281</v>
      </c>
      <c r="D1240" s="65">
        <v>126000</v>
      </c>
      <c r="E1240" s="65">
        <v>126000</v>
      </c>
      <c r="F1240" s="65">
        <v>135903</v>
      </c>
      <c r="G1240" s="66">
        <v>140000</v>
      </c>
      <c r="H1240" s="66">
        <v>140000</v>
      </c>
    </row>
    <row r="1241" spans="1:10" s="3" customFormat="1" x14ac:dyDescent="0.25">
      <c r="B1241" s="3" t="s">
        <v>1359</v>
      </c>
      <c r="C1241" s="6">
        <f>SUM(C1239:C1240)</f>
        <v>108080</v>
      </c>
      <c r="D1241" s="6">
        <f t="shared" ref="D1241:H1241" si="71">SUM(D1239:D1240)</f>
        <v>127000</v>
      </c>
      <c r="E1241" s="6">
        <f t="shared" si="71"/>
        <v>129337.91</v>
      </c>
      <c r="F1241" s="6">
        <f t="shared" si="71"/>
        <v>139434.76999999999</v>
      </c>
      <c r="G1241" s="8">
        <f t="shared" si="71"/>
        <v>141000</v>
      </c>
      <c r="H1241" s="8">
        <f t="shared" si="71"/>
        <v>141000</v>
      </c>
      <c r="J1241"/>
    </row>
    <row r="1242" spans="1:10" x14ac:dyDescent="0.25">
      <c r="C1242" s="4"/>
      <c r="D1242" s="4"/>
      <c r="E1242" s="4"/>
      <c r="F1242" s="4"/>
    </row>
    <row r="1243" spans="1:10" s="3" customFormat="1" x14ac:dyDescent="0.25">
      <c r="A1243" s="3" t="s">
        <v>1193</v>
      </c>
      <c r="B1243" s="3" t="s">
        <v>1457</v>
      </c>
      <c r="C1243" s="6">
        <v>2850449</v>
      </c>
      <c r="D1243" s="6">
        <v>2558171</v>
      </c>
      <c r="E1243" s="6">
        <v>2550085.2400000002</v>
      </c>
      <c r="F1243" s="6">
        <v>2649293.5299999998</v>
      </c>
      <c r="G1243" s="14">
        <f>G1241+G1237+G1229+G1218</f>
        <v>2755206.1638249997</v>
      </c>
      <c r="H1243" s="14">
        <f>H1241+H1237+H1229+H1218</f>
        <v>2784676.5637397501</v>
      </c>
      <c r="J1243"/>
    </row>
    <row r="1244" spans="1:10" x14ac:dyDescent="0.25">
      <c r="C1244" s="4"/>
      <c r="D1244" s="4"/>
      <c r="E1244" s="4"/>
      <c r="F1244" s="4"/>
    </row>
    <row r="1245" spans="1:10" x14ac:dyDescent="0.25">
      <c r="A1245" s="61" t="s">
        <v>1194</v>
      </c>
      <c r="B1245" s="61" t="s">
        <v>141</v>
      </c>
      <c r="C1245" s="62">
        <v>30105</v>
      </c>
      <c r="D1245" s="62">
        <v>0</v>
      </c>
      <c r="E1245" s="62">
        <v>0</v>
      </c>
      <c r="F1245" s="62">
        <v>28680</v>
      </c>
      <c r="G1245" s="63">
        <v>0</v>
      </c>
      <c r="H1245" s="63">
        <v>0</v>
      </c>
    </row>
    <row r="1246" spans="1:10" x14ac:dyDescent="0.25">
      <c r="A1246" s="61" t="s">
        <v>1195</v>
      </c>
      <c r="B1246" s="61" t="s">
        <v>172</v>
      </c>
      <c r="C1246" s="62">
        <v>425</v>
      </c>
      <c r="D1246" s="62">
        <v>0</v>
      </c>
      <c r="E1246" s="62">
        <v>0</v>
      </c>
      <c r="F1246" s="62">
        <v>440.56</v>
      </c>
      <c r="G1246" s="63">
        <f>G1245*1.45%</f>
        <v>0</v>
      </c>
      <c r="H1246" s="63">
        <f>H1245*1.45%</f>
        <v>0</v>
      </c>
    </row>
    <row r="1247" spans="1:10" ht="15.75" thickBot="1" x14ac:dyDescent="0.3">
      <c r="A1247" s="61" t="s">
        <v>1196</v>
      </c>
      <c r="B1247" s="61" t="s">
        <v>249</v>
      </c>
      <c r="C1247" s="65">
        <v>188</v>
      </c>
      <c r="D1247" s="65">
        <v>0</v>
      </c>
      <c r="E1247" s="65">
        <v>0</v>
      </c>
      <c r="F1247" s="65">
        <v>194.41</v>
      </c>
      <c r="G1247" s="66">
        <f>G1245*0.65%</f>
        <v>0</v>
      </c>
      <c r="H1247" s="66">
        <f>H1245*0.65%</f>
        <v>0</v>
      </c>
    </row>
    <row r="1248" spans="1:10" s="3" customFormat="1" x14ac:dyDescent="0.25">
      <c r="B1248" s="3" t="s">
        <v>1274</v>
      </c>
      <c r="C1248" s="6">
        <f>SUM(C1245:C1247)</f>
        <v>30718</v>
      </c>
      <c r="D1248" s="6">
        <f t="shared" ref="D1248:H1248" si="72">SUM(D1245:D1247)</f>
        <v>0</v>
      </c>
      <c r="E1248" s="6">
        <f t="shared" si="72"/>
        <v>0</v>
      </c>
      <c r="F1248" s="6">
        <f t="shared" si="72"/>
        <v>29314.97</v>
      </c>
      <c r="G1248" s="8">
        <f t="shared" si="72"/>
        <v>0</v>
      </c>
      <c r="H1248" s="8">
        <f t="shared" si="72"/>
        <v>0</v>
      </c>
      <c r="J1248"/>
    </row>
    <row r="1249" spans="1:10" x14ac:dyDescent="0.25">
      <c r="C1249" s="4"/>
      <c r="D1249" s="4"/>
      <c r="E1249" s="4"/>
      <c r="F1249" s="4"/>
    </row>
    <row r="1250" spans="1:10" x14ac:dyDescent="0.25">
      <c r="A1250" s="61" t="s">
        <v>1197</v>
      </c>
      <c r="B1250" s="61" t="s">
        <v>380</v>
      </c>
      <c r="C1250" s="62">
        <v>6458</v>
      </c>
      <c r="D1250" s="62">
        <v>4390</v>
      </c>
      <c r="E1250" s="62">
        <v>4610</v>
      </c>
      <c r="F1250" s="62">
        <v>4609.5</v>
      </c>
      <c r="G1250" s="63">
        <v>4610</v>
      </c>
      <c r="H1250" s="63">
        <v>4610</v>
      </c>
    </row>
    <row r="1251" spans="1:10" x14ac:dyDescent="0.25">
      <c r="A1251" s="61" t="s">
        <v>1198</v>
      </c>
      <c r="B1251" s="61" t="s">
        <v>380</v>
      </c>
      <c r="C1251" s="62">
        <v>3163</v>
      </c>
      <c r="D1251" s="62">
        <v>3903</v>
      </c>
      <c r="E1251" s="62">
        <v>3683</v>
      </c>
      <c r="F1251" s="62">
        <v>2587.9499999999998</v>
      </c>
      <c r="G1251" s="63">
        <v>3683</v>
      </c>
      <c r="H1251" s="63">
        <v>3683</v>
      </c>
    </row>
    <row r="1252" spans="1:10" x14ac:dyDescent="0.25">
      <c r="A1252" s="61" t="s">
        <v>1199</v>
      </c>
      <c r="B1252" s="61" t="s">
        <v>380</v>
      </c>
      <c r="C1252" s="62">
        <v>1054</v>
      </c>
      <c r="D1252" s="62">
        <v>2592</v>
      </c>
      <c r="E1252" s="62">
        <v>2592</v>
      </c>
      <c r="F1252" s="62">
        <v>1419.65</v>
      </c>
      <c r="G1252" s="63">
        <v>2592</v>
      </c>
      <c r="H1252" s="63">
        <v>2592</v>
      </c>
    </row>
    <row r="1253" spans="1:10" x14ac:dyDescent="0.25">
      <c r="A1253" s="61" t="s">
        <v>1200</v>
      </c>
      <c r="B1253" s="61" t="s">
        <v>380</v>
      </c>
      <c r="C1253" s="62">
        <v>351</v>
      </c>
      <c r="D1253" s="62">
        <v>961</v>
      </c>
      <c r="E1253" s="62">
        <v>961</v>
      </c>
      <c r="F1253" s="62">
        <v>287.55</v>
      </c>
      <c r="G1253" s="63">
        <v>961</v>
      </c>
      <c r="H1253" s="63">
        <v>961</v>
      </c>
    </row>
    <row r="1254" spans="1:10" x14ac:dyDescent="0.25">
      <c r="A1254" s="61" t="s">
        <v>1201</v>
      </c>
      <c r="B1254" s="61" t="s">
        <v>380</v>
      </c>
      <c r="C1254" s="62">
        <v>0</v>
      </c>
      <c r="D1254" s="62">
        <v>600</v>
      </c>
      <c r="E1254" s="62">
        <v>600</v>
      </c>
      <c r="F1254" s="62">
        <v>0</v>
      </c>
      <c r="G1254" s="63">
        <v>600</v>
      </c>
      <c r="H1254" s="63">
        <v>600</v>
      </c>
    </row>
    <row r="1255" spans="1:10" x14ac:dyDescent="0.25">
      <c r="A1255" s="61" t="s">
        <v>1202</v>
      </c>
      <c r="B1255" s="61" t="s">
        <v>380</v>
      </c>
      <c r="C1255" s="62">
        <v>351</v>
      </c>
      <c r="D1255" s="62">
        <v>600</v>
      </c>
      <c r="E1255" s="62">
        <v>600</v>
      </c>
      <c r="F1255" s="62">
        <v>287.55</v>
      </c>
      <c r="G1255" s="63">
        <v>600</v>
      </c>
      <c r="H1255" s="63">
        <v>600</v>
      </c>
    </row>
    <row r="1256" spans="1:10" x14ac:dyDescent="0.25">
      <c r="A1256" s="61" t="s">
        <v>1203</v>
      </c>
      <c r="B1256" s="61" t="s">
        <v>380</v>
      </c>
      <c r="C1256" s="62">
        <v>1154</v>
      </c>
      <c r="D1256" s="62">
        <v>27300</v>
      </c>
      <c r="E1256" s="62">
        <v>27300</v>
      </c>
      <c r="F1256" s="62">
        <v>14088.65</v>
      </c>
      <c r="G1256" s="63">
        <v>29601</v>
      </c>
      <c r="H1256" s="63">
        <v>29601</v>
      </c>
    </row>
    <row r="1257" spans="1:10" ht="15.75" thickBot="1" x14ac:dyDescent="0.3">
      <c r="A1257" s="61" t="s">
        <v>1204</v>
      </c>
      <c r="B1257" s="61" t="s">
        <v>390</v>
      </c>
      <c r="C1257" s="65">
        <v>3000</v>
      </c>
      <c r="D1257" s="65">
        <v>1687</v>
      </c>
      <c r="E1257" s="65">
        <v>1687</v>
      </c>
      <c r="F1257" s="65">
        <v>2952.79</v>
      </c>
      <c r="G1257" s="66">
        <v>3000</v>
      </c>
      <c r="H1257" s="66">
        <v>3000</v>
      </c>
    </row>
    <row r="1258" spans="1:10" s="3" customFormat="1" x14ac:dyDescent="0.25">
      <c r="B1258" s="3" t="s">
        <v>1298</v>
      </c>
      <c r="C1258" s="6">
        <f>SUM(C1250:C1257)</f>
        <v>15531</v>
      </c>
      <c r="D1258" s="6">
        <f t="shared" ref="D1258:H1258" si="73">SUM(D1250:D1257)</f>
        <v>42033</v>
      </c>
      <c r="E1258" s="6">
        <f t="shared" si="73"/>
        <v>42033</v>
      </c>
      <c r="F1258" s="6">
        <f t="shared" si="73"/>
        <v>26233.64</v>
      </c>
      <c r="G1258" s="8">
        <f t="shared" si="73"/>
        <v>45647</v>
      </c>
      <c r="H1258" s="8">
        <f t="shared" si="73"/>
        <v>45647</v>
      </c>
      <c r="J1258"/>
    </row>
    <row r="1259" spans="1:10" x14ac:dyDescent="0.25">
      <c r="C1259" s="4"/>
      <c r="D1259" s="4"/>
      <c r="E1259" s="4"/>
      <c r="F1259" s="4"/>
    </row>
    <row r="1260" spans="1:10" ht="15.75" thickBot="1" x14ac:dyDescent="0.3">
      <c r="A1260" s="61" t="s">
        <v>1205</v>
      </c>
      <c r="B1260" s="61" t="s">
        <v>439</v>
      </c>
      <c r="C1260" s="65">
        <v>0</v>
      </c>
      <c r="D1260" s="65">
        <v>1000</v>
      </c>
      <c r="E1260" s="65">
        <v>1000</v>
      </c>
      <c r="F1260" s="65">
        <v>0</v>
      </c>
      <c r="G1260" s="66">
        <v>1000</v>
      </c>
      <c r="H1260" s="66">
        <v>1000</v>
      </c>
    </row>
    <row r="1261" spans="1:10" s="3" customFormat="1" x14ac:dyDescent="0.25">
      <c r="B1261" s="3" t="s">
        <v>1320</v>
      </c>
      <c r="C1261" s="6">
        <f>SUM(C1260)</f>
        <v>0</v>
      </c>
      <c r="D1261" s="6">
        <f t="shared" ref="D1261:H1261" si="74">SUM(D1260)</f>
        <v>1000</v>
      </c>
      <c r="E1261" s="6">
        <f t="shared" si="74"/>
        <v>1000</v>
      </c>
      <c r="F1261" s="6">
        <f t="shared" si="74"/>
        <v>0</v>
      </c>
      <c r="G1261" s="8">
        <f t="shared" si="74"/>
        <v>1000</v>
      </c>
      <c r="H1261" s="8">
        <f t="shared" si="74"/>
        <v>1000</v>
      </c>
      <c r="J1261"/>
    </row>
    <row r="1262" spans="1:10" x14ac:dyDescent="0.25">
      <c r="C1262" s="4"/>
      <c r="D1262" s="4"/>
      <c r="E1262" s="4"/>
      <c r="F1262" s="4"/>
    </row>
    <row r="1263" spans="1:10" s="3" customFormat="1" x14ac:dyDescent="0.25">
      <c r="A1263" s="3" t="s">
        <v>1206</v>
      </c>
      <c r="B1263" s="3" t="s">
        <v>1207</v>
      </c>
      <c r="C1263" s="6">
        <v>46249</v>
      </c>
      <c r="D1263" s="6">
        <v>43033</v>
      </c>
      <c r="E1263" s="6">
        <v>43033</v>
      </c>
      <c r="F1263" s="6">
        <v>55548.61</v>
      </c>
      <c r="G1263" s="14">
        <f>G1261+G1258+G1248</f>
        <v>46647</v>
      </c>
      <c r="H1263" s="14">
        <f>H1261+H1258+H1248</f>
        <v>46647</v>
      </c>
      <c r="J1263"/>
    </row>
    <row r="1264" spans="1:10" x14ac:dyDescent="0.25">
      <c r="C1264" s="4"/>
      <c r="D1264" s="4"/>
      <c r="E1264" s="4"/>
      <c r="F1264" s="4"/>
    </row>
    <row r="1265" spans="1:10" x14ac:dyDescent="0.25">
      <c r="A1265" s="61" t="s">
        <v>1208</v>
      </c>
      <c r="B1265" s="61" t="s">
        <v>72</v>
      </c>
      <c r="C1265" s="62">
        <v>29519</v>
      </c>
      <c r="D1265" s="62">
        <v>25425</v>
      </c>
      <c r="E1265" s="62">
        <v>25425</v>
      </c>
      <c r="F1265" s="62">
        <v>48684</v>
      </c>
      <c r="G1265" s="63">
        <f>29765.27</f>
        <v>29765.27</v>
      </c>
      <c r="H1265" s="62">
        <f>G1265+(G1265*3%)</f>
        <v>30658.2281</v>
      </c>
    </row>
    <row r="1266" spans="1:10" x14ac:dyDescent="0.25">
      <c r="A1266" s="75" t="s">
        <v>1209</v>
      </c>
      <c r="B1266" s="75" t="s">
        <v>109</v>
      </c>
      <c r="C1266" s="63">
        <v>2095</v>
      </c>
      <c r="D1266" s="63">
        <v>3000</v>
      </c>
      <c r="E1266" s="63">
        <v>3000</v>
      </c>
      <c r="F1266" s="63">
        <v>535.24</v>
      </c>
      <c r="G1266" s="63">
        <v>1000</v>
      </c>
      <c r="H1266" s="62">
        <v>1000</v>
      </c>
    </row>
    <row r="1267" spans="1:10" x14ac:dyDescent="0.25">
      <c r="A1267" s="61" t="s">
        <v>1210</v>
      </c>
      <c r="B1267" s="61" t="s">
        <v>1163</v>
      </c>
      <c r="C1267" s="62">
        <v>11443</v>
      </c>
      <c r="D1267" s="62" t="s">
        <v>0</v>
      </c>
      <c r="E1267" s="62" t="s">
        <v>0</v>
      </c>
      <c r="F1267" s="62">
        <v>3064.5</v>
      </c>
      <c r="G1267" s="63">
        <v>0</v>
      </c>
      <c r="H1267" s="62">
        <f t="shared" ref="H1267:H1275" si="75">G1267+(G1267*3%)</f>
        <v>0</v>
      </c>
    </row>
    <row r="1268" spans="1:10" x14ac:dyDescent="0.25">
      <c r="A1268" s="61" t="s">
        <v>1211</v>
      </c>
      <c r="B1268" s="61" t="s">
        <v>141</v>
      </c>
      <c r="C1268" s="62">
        <v>29826</v>
      </c>
      <c r="D1268" s="62">
        <v>29253</v>
      </c>
      <c r="E1268" s="62">
        <v>29253</v>
      </c>
      <c r="F1268" s="62">
        <v>18566.73</v>
      </c>
      <c r="G1268" s="63">
        <v>0</v>
      </c>
      <c r="H1268" s="62">
        <f t="shared" si="75"/>
        <v>0</v>
      </c>
    </row>
    <row r="1269" spans="1:10" x14ac:dyDescent="0.25">
      <c r="A1269" s="61" t="s">
        <v>1212</v>
      </c>
      <c r="B1269" s="61" t="s">
        <v>169</v>
      </c>
      <c r="C1269" s="62">
        <v>3000</v>
      </c>
      <c r="D1269" s="62">
        <v>3000</v>
      </c>
      <c r="E1269" s="62">
        <v>3000</v>
      </c>
      <c r="F1269" s="62">
        <v>2500</v>
      </c>
      <c r="G1269" s="63">
        <v>0</v>
      </c>
      <c r="H1269" s="62">
        <f t="shared" si="75"/>
        <v>0</v>
      </c>
    </row>
    <row r="1270" spans="1:10" x14ac:dyDescent="0.25">
      <c r="A1270" s="61" t="s">
        <v>1213</v>
      </c>
      <c r="B1270" s="61" t="s">
        <v>172</v>
      </c>
      <c r="C1270" s="62">
        <v>26</v>
      </c>
      <c r="D1270" s="62" t="s">
        <v>0</v>
      </c>
      <c r="E1270" s="62" t="s">
        <v>0</v>
      </c>
      <c r="F1270" s="62">
        <v>23.51</v>
      </c>
      <c r="G1270" s="63">
        <f>G1269*1.45%</f>
        <v>0</v>
      </c>
      <c r="H1270" s="63">
        <f>H1269*1.45%</f>
        <v>0</v>
      </c>
    </row>
    <row r="1271" spans="1:10" x14ac:dyDescent="0.25">
      <c r="A1271" s="61" t="s">
        <v>1214</v>
      </c>
      <c r="B1271" s="61" t="s">
        <v>172</v>
      </c>
      <c r="C1271" s="62">
        <v>709</v>
      </c>
      <c r="D1271" s="62">
        <v>770</v>
      </c>
      <c r="E1271" s="62">
        <v>770</v>
      </c>
      <c r="F1271" s="62">
        <v>818.28</v>
      </c>
      <c r="G1271" s="63">
        <f>(G1265+G1266+G1267+G1268)*1.45%</f>
        <v>446.09641499999998</v>
      </c>
      <c r="H1271" s="63">
        <f>(H1265+H1266+H1267+H1268)*1.45%</f>
        <v>459.04430744999996</v>
      </c>
    </row>
    <row r="1272" spans="1:10" x14ac:dyDescent="0.25">
      <c r="A1272" s="61" t="s">
        <v>1215</v>
      </c>
      <c r="B1272" s="61" t="s">
        <v>218</v>
      </c>
      <c r="C1272" s="62">
        <v>7418</v>
      </c>
      <c r="D1272" s="62">
        <v>7422</v>
      </c>
      <c r="E1272" s="62">
        <v>7422</v>
      </c>
      <c r="F1272" s="62">
        <v>4488.74</v>
      </c>
      <c r="G1272" s="63">
        <v>7422</v>
      </c>
      <c r="H1272" s="62">
        <v>7422</v>
      </c>
    </row>
    <row r="1273" spans="1:10" x14ac:dyDescent="0.25">
      <c r="A1273" s="61" t="s">
        <v>1216</v>
      </c>
      <c r="B1273" s="61" t="s">
        <v>249</v>
      </c>
      <c r="C1273" s="62">
        <v>19</v>
      </c>
      <c r="D1273" s="62">
        <v>19</v>
      </c>
      <c r="E1273" s="62">
        <v>19</v>
      </c>
      <c r="F1273" s="62">
        <v>16.16</v>
      </c>
      <c r="G1273" s="63">
        <f>G1269*0.65%</f>
        <v>0</v>
      </c>
      <c r="H1273" s="63">
        <f>H1269*0.65%</f>
        <v>0</v>
      </c>
    </row>
    <row r="1274" spans="1:10" x14ac:dyDescent="0.25">
      <c r="A1274" s="61" t="s">
        <v>1217</v>
      </c>
      <c r="B1274" s="61" t="s">
        <v>249</v>
      </c>
      <c r="C1274" s="62">
        <v>396</v>
      </c>
      <c r="D1274" s="62">
        <v>342</v>
      </c>
      <c r="E1274" s="62">
        <v>342</v>
      </c>
      <c r="F1274" s="62">
        <v>360.69</v>
      </c>
      <c r="G1274" s="63">
        <f>(G1265+G1266+G1267+G1268)*0.65%</f>
        <v>199.97425500000003</v>
      </c>
      <c r="H1274" s="63">
        <f>(H1265+H1266+H1267+H1268)*0.65%</f>
        <v>205.77848265000003</v>
      </c>
    </row>
    <row r="1275" spans="1:10" x14ac:dyDescent="0.25">
      <c r="A1275" s="61" t="s">
        <v>1218</v>
      </c>
      <c r="B1275" s="61" t="s">
        <v>292</v>
      </c>
      <c r="C1275" s="62">
        <v>4549</v>
      </c>
      <c r="D1275" s="62">
        <v>2503</v>
      </c>
      <c r="E1275" s="62">
        <v>2503</v>
      </c>
      <c r="F1275" s="62">
        <v>3532.42</v>
      </c>
      <c r="G1275" s="63">
        <v>2503</v>
      </c>
      <c r="H1275" s="77">
        <f t="shared" si="75"/>
        <v>2578.09</v>
      </c>
    </row>
    <row r="1276" spans="1:10" ht="15.75" thickBot="1" x14ac:dyDescent="0.3">
      <c r="A1276" s="61" t="s">
        <v>1219</v>
      </c>
      <c r="B1276" s="61" t="s">
        <v>331</v>
      </c>
      <c r="C1276" s="65">
        <v>1140</v>
      </c>
      <c r="D1276" s="65">
        <v>2724</v>
      </c>
      <c r="E1276" s="65">
        <v>2724</v>
      </c>
      <c r="F1276" s="65">
        <v>914.19</v>
      </c>
      <c r="G1276" s="66">
        <f>(G1265+G1266+G1267+G1268)*0.75%</f>
        <v>230.73952499999999</v>
      </c>
      <c r="H1276" s="66">
        <f>(H1265+H1266+H1267+H1268)*0.75%</f>
        <v>237.43671075</v>
      </c>
    </row>
    <row r="1277" spans="1:10" s="3" customFormat="1" x14ac:dyDescent="0.25">
      <c r="B1277" s="3" t="s">
        <v>1274</v>
      </c>
      <c r="C1277" s="6">
        <f>SUM(C1265:C1276)</f>
        <v>90140</v>
      </c>
      <c r="D1277" s="6">
        <f t="shared" ref="D1277:H1277" si="76">SUM(D1265:D1276)</f>
        <v>74458</v>
      </c>
      <c r="E1277" s="6">
        <f t="shared" si="76"/>
        <v>74458</v>
      </c>
      <c r="F1277" s="6">
        <f t="shared" si="76"/>
        <v>83504.460000000006</v>
      </c>
      <c r="G1277" s="8">
        <f t="shared" si="76"/>
        <v>41567.080194999995</v>
      </c>
      <c r="H1277" s="8">
        <f t="shared" si="76"/>
        <v>42560.577600849996</v>
      </c>
      <c r="J1277"/>
    </row>
    <row r="1278" spans="1:10" x14ac:dyDescent="0.25">
      <c r="C1278" s="4"/>
      <c r="D1278" s="4"/>
      <c r="E1278" s="4"/>
      <c r="F1278" s="4"/>
    </row>
    <row r="1279" spans="1:10" x14ac:dyDescent="0.25">
      <c r="A1279" s="61" t="s">
        <v>1220</v>
      </c>
      <c r="B1279" s="61" t="s">
        <v>380</v>
      </c>
      <c r="C1279" s="62">
        <v>0</v>
      </c>
      <c r="D1279" s="62">
        <v>1000</v>
      </c>
      <c r="E1279" s="62">
        <v>1000</v>
      </c>
      <c r="F1279" s="62">
        <v>0</v>
      </c>
      <c r="G1279" s="63">
        <v>0</v>
      </c>
      <c r="H1279" s="63">
        <v>0</v>
      </c>
    </row>
    <row r="1280" spans="1:10" x14ac:dyDescent="0.25">
      <c r="A1280" s="61" t="s">
        <v>1221</v>
      </c>
      <c r="B1280" s="61" t="s">
        <v>380</v>
      </c>
      <c r="C1280" s="62">
        <v>26420</v>
      </c>
      <c r="D1280" s="62">
        <v>29000</v>
      </c>
      <c r="E1280" s="62">
        <v>29000</v>
      </c>
      <c r="F1280" s="62">
        <v>27424.5</v>
      </c>
      <c r="G1280" s="63">
        <v>29000</v>
      </c>
      <c r="H1280" s="63">
        <v>29000</v>
      </c>
    </row>
    <row r="1281" spans="1:10" x14ac:dyDescent="0.25">
      <c r="A1281" s="61" t="s">
        <v>1222</v>
      </c>
      <c r="B1281" s="61" t="s">
        <v>380</v>
      </c>
      <c r="C1281" s="62">
        <v>44970</v>
      </c>
      <c r="D1281" s="62">
        <v>5000</v>
      </c>
      <c r="E1281" s="62">
        <v>5000</v>
      </c>
      <c r="F1281" s="62">
        <v>27424.5</v>
      </c>
      <c r="G1281" s="63">
        <v>18000</v>
      </c>
      <c r="H1281" s="63">
        <v>18000</v>
      </c>
    </row>
    <row r="1282" spans="1:10" x14ac:dyDescent="0.25">
      <c r="A1282" s="61" t="s">
        <v>1223</v>
      </c>
      <c r="B1282" s="61" t="s">
        <v>1458</v>
      </c>
      <c r="C1282" s="62">
        <v>39244</v>
      </c>
      <c r="D1282" s="62">
        <v>30000</v>
      </c>
      <c r="E1282" s="62">
        <v>30000</v>
      </c>
      <c r="F1282" s="62">
        <v>20579.349999999999</v>
      </c>
      <c r="G1282" s="63">
        <v>0</v>
      </c>
      <c r="H1282" s="63">
        <v>0</v>
      </c>
    </row>
    <row r="1283" spans="1:10" ht="15.75" thickBot="1" x14ac:dyDescent="0.3">
      <c r="A1283" s="61" t="s">
        <v>1224</v>
      </c>
      <c r="B1283" s="61" t="s">
        <v>390</v>
      </c>
      <c r="C1283" s="65">
        <v>6330</v>
      </c>
      <c r="D1283" s="65">
        <v>10000</v>
      </c>
      <c r="E1283" s="65">
        <v>10000</v>
      </c>
      <c r="F1283" s="65">
        <v>16230.43</v>
      </c>
      <c r="G1283" s="66">
        <v>6330</v>
      </c>
      <c r="H1283" s="66">
        <v>6330</v>
      </c>
    </row>
    <row r="1284" spans="1:10" s="3" customFormat="1" x14ac:dyDescent="0.25">
      <c r="B1284" s="3" t="s">
        <v>1298</v>
      </c>
      <c r="C1284" s="6">
        <f>SUM(C1279:C1283)</f>
        <v>116964</v>
      </c>
      <c r="D1284" s="6">
        <f t="shared" ref="D1284:H1284" si="77">SUM(D1279:D1283)</f>
        <v>75000</v>
      </c>
      <c r="E1284" s="6">
        <f t="shared" si="77"/>
        <v>75000</v>
      </c>
      <c r="F1284" s="6">
        <f t="shared" si="77"/>
        <v>91658.78</v>
      </c>
      <c r="G1284" s="8">
        <f t="shared" si="77"/>
        <v>53330</v>
      </c>
      <c r="H1284" s="8">
        <f t="shared" si="77"/>
        <v>53330</v>
      </c>
      <c r="J1284"/>
    </row>
    <row r="1285" spans="1:10" x14ac:dyDescent="0.25">
      <c r="C1285" s="4"/>
      <c r="D1285" s="4"/>
      <c r="E1285" s="4"/>
      <c r="F1285" s="4"/>
    </row>
    <row r="1286" spans="1:10" x14ac:dyDescent="0.25">
      <c r="A1286" s="61" t="s">
        <v>1225</v>
      </c>
      <c r="B1286" s="61" t="s">
        <v>434</v>
      </c>
      <c r="C1286" s="62">
        <v>0</v>
      </c>
      <c r="D1286" s="62">
        <v>50000</v>
      </c>
      <c r="E1286" s="62">
        <v>50000</v>
      </c>
      <c r="F1286" s="62">
        <v>40524.910000000003</v>
      </c>
      <c r="G1286" s="63">
        <v>50000</v>
      </c>
      <c r="H1286" s="63">
        <v>50000</v>
      </c>
    </row>
    <row r="1287" spans="1:10" x14ac:dyDescent="0.25">
      <c r="A1287" s="61" t="s">
        <v>1226</v>
      </c>
      <c r="B1287" s="61" t="s">
        <v>439</v>
      </c>
      <c r="C1287" s="62">
        <v>2901</v>
      </c>
      <c r="D1287" s="62">
        <v>1500</v>
      </c>
      <c r="E1287" s="62">
        <v>1500</v>
      </c>
      <c r="F1287" s="62">
        <v>538.89</v>
      </c>
      <c r="G1287" s="63">
        <v>1000</v>
      </c>
      <c r="H1287" s="63">
        <v>1000</v>
      </c>
    </row>
    <row r="1288" spans="1:10" ht="15.75" thickBot="1" x14ac:dyDescent="0.3">
      <c r="A1288" s="61" t="s">
        <v>1227</v>
      </c>
      <c r="B1288" s="61" t="s">
        <v>439</v>
      </c>
      <c r="C1288" s="65">
        <v>76647</v>
      </c>
      <c r="D1288" s="65">
        <v>1000</v>
      </c>
      <c r="E1288" s="65">
        <v>1000</v>
      </c>
      <c r="F1288" s="65">
        <v>791.71</v>
      </c>
      <c r="G1288" s="66">
        <v>2000</v>
      </c>
      <c r="H1288" s="66">
        <v>2000</v>
      </c>
    </row>
    <row r="1289" spans="1:10" s="3" customFormat="1" x14ac:dyDescent="0.25">
      <c r="B1289" s="3" t="s">
        <v>1320</v>
      </c>
      <c r="C1289" s="6">
        <f>SUM(C1286:C1288)</f>
        <v>79548</v>
      </c>
      <c r="D1289" s="6">
        <f t="shared" ref="D1289:H1289" si="78">SUM(D1286:D1288)</f>
        <v>52500</v>
      </c>
      <c r="E1289" s="6">
        <f t="shared" si="78"/>
        <v>52500</v>
      </c>
      <c r="F1289" s="6">
        <f t="shared" si="78"/>
        <v>41855.51</v>
      </c>
      <c r="G1289" s="8">
        <f t="shared" si="78"/>
        <v>53000</v>
      </c>
      <c r="H1289" s="8">
        <f t="shared" si="78"/>
        <v>53000</v>
      </c>
      <c r="J1289"/>
    </row>
    <row r="1290" spans="1:10" x14ac:dyDescent="0.25">
      <c r="C1290" s="4"/>
      <c r="D1290" s="4"/>
      <c r="E1290" s="4"/>
      <c r="F1290" s="4"/>
    </row>
    <row r="1291" spans="1:10" x14ac:dyDescent="0.25">
      <c r="A1291" s="61" t="s">
        <v>1228</v>
      </c>
      <c r="B1291" s="61" t="s">
        <v>525</v>
      </c>
      <c r="C1291" s="62">
        <v>1959</v>
      </c>
      <c r="D1291" s="62">
        <v>2000</v>
      </c>
      <c r="E1291" s="62">
        <v>2000</v>
      </c>
      <c r="F1291" s="62">
        <v>1665.69</v>
      </c>
      <c r="G1291" s="63">
        <v>1000</v>
      </c>
      <c r="H1291" s="63">
        <v>1000</v>
      </c>
    </row>
    <row r="1292" spans="1:10" x14ac:dyDescent="0.25">
      <c r="A1292" s="61" t="s">
        <v>1229</v>
      </c>
      <c r="B1292" s="61" t="s">
        <v>525</v>
      </c>
      <c r="C1292" s="62">
        <v>3305</v>
      </c>
      <c r="D1292" s="62">
        <v>4000</v>
      </c>
      <c r="E1292" s="62">
        <v>4000</v>
      </c>
      <c r="F1292" s="62">
        <v>1476.12</v>
      </c>
      <c r="G1292" s="63">
        <v>4000</v>
      </c>
      <c r="H1292" s="63">
        <v>4000</v>
      </c>
    </row>
    <row r="1293" spans="1:10" ht="15.75" thickBot="1" x14ac:dyDescent="0.3">
      <c r="A1293" s="61" t="s">
        <v>1230</v>
      </c>
      <c r="B1293" s="61" t="s">
        <v>545</v>
      </c>
      <c r="C1293" s="65">
        <v>0</v>
      </c>
      <c r="D1293" s="65">
        <v>350</v>
      </c>
      <c r="E1293" s="65">
        <v>350</v>
      </c>
      <c r="F1293" s="65">
        <v>0</v>
      </c>
      <c r="G1293" s="66">
        <v>0</v>
      </c>
      <c r="H1293" s="66">
        <v>0</v>
      </c>
    </row>
    <row r="1294" spans="1:10" s="3" customFormat="1" x14ac:dyDescent="0.25">
      <c r="B1294" s="3" t="s">
        <v>1359</v>
      </c>
      <c r="C1294" s="6">
        <f>SUM(C1291:C1293)</f>
        <v>5264</v>
      </c>
      <c r="D1294" s="6">
        <f t="shared" ref="D1294:H1294" si="79">SUM(D1291:D1293)</f>
        <v>6350</v>
      </c>
      <c r="E1294" s="6">
        <f t="shared" si="79"/>
        <v>6350</v>
      </c>
      <c r="F1294" s="6">
        <f t="shared" si="79"/>
        <v>3141.81</v>
      </c>
      <c r="G1294" s="8">
        <f t="shared" si="79"/>
        <v>5000</v>
      </c>
      <c r="H1294" s="8">
        <f t="shared" si="79"/>
        <v>5000</v>
      </c>
      <c r="J1294"/>
    </row>
    <row r="1295" spans="1:10" x14ac:dyDescent="0.25">
      <c r="C1295" s="4"/>
      <c r="D1295" s="4"/>
      <c r="E1295" s="4"/>
      <c r="F1295" s="4"/>
    </row>
    <row r="1296" spans="1:10" s="3" customFormat="1" x14ac:dyDescent="0.25">
      <c r="A1296" s="3" t="s">
        <v>1231</v>
      </c>
      <c r="B1296" s="3" t="s">
        <v>1459</v>
      </c>
      <c r="C1296" s="6">
        <v>291916</v>
      </c>
      <c r="D1296" s="6">
        <v>208308</v>
      </c>
      <c r="E1296" s="6">
        <v>208308</v>
      </c>
      <c r="F1296" s="6">
        <v>220160.56</v>
      </c>
      <c r="G1296" s="14">
        <f>G1294+G1289+G1284+G1277</f>
        <v>152897.08019499999</v>
      </c>
      <c r="H1296" s="14">
        <f>H1294+H1289+H1284+H1277</f>
        <v>153890.57760085</v>
      </c>
      <c r="J1296"/>
    </row>
    <row r="1297" spans="1:10" x14ac:dyDescent="0.25">
      <c r="C1297" s="4"/>
      <c r="D1297" s="4"/>
      <c r="E1297" s="4"/>
      <c r="F1297" s="4"/>
    </row>
    <row r="1298" spans="1:10" x14ac:dyDescent="0.25">
      <c r="A1298" s="61" t="s">
        <v>1232</v>
      </c>
      <c r="B1298" s="61" t="s">
        <v>1547</v>
      </c>
      <c r="C1298" s="62">
        <v>55</v>
      </c>
      <c r="D1298" s="62">
        <v>0</v>
      </c>
      <c r="E1298" s="62">
        <v>0</v>
      </c>
      <c r="F1298" s="62">
        <v>15.42</v>
      </c>
      <c r="G1298" s="63">
        <v>0</v>
      </c>
      <c r="H1298" s="63">
        <v>0</v>
      </c>
    </row>
    <row r="1299" spans="1:10" x14ac:dyDescent="0.25">
      <c r="A1299" s="61" t="s">
        <v>1233</v>
      </c>
      <c r="B1299" s="61" t="s">
        <v>1548</v>
      </c>
      <c r="C1299" s="62">
        <v>20934</v>
      </c>
      <c r="D1299" s="62">
        <v>0</v>
      </c>
      <c r="E1299" s="62">
        <v>0</v>
      </c>
      <c r="F1299" s="62" t="s">
        <v>0</v>
      </c>
      <c r="G1299" s="63">
        <v>0</v>
      </c>
      <c r="H1299" s="63">
        <v>0</v>
      </c>
    </row>
    <row r="1300" spans="1:10" x14ac:dyDescent="0.25">
      <c r="A1300" s="61" t="s">
        <v>1234</v>
      </c>
      <c r="B1300" s="61" t="s">
        <v>1549</v>
      </c>
      <c r="C1300" s="62">
        <v>290</v>
      </c>
      <c r="D1300" s="62">
        <v>0</v>
      </c>
      <c r="E1300" s="62">
        <v>0</v>
      </c>
      <c r="F1300" s="62">
        <v>0.21</v>
      </c>
      <c r="G1300" s="63">
        <v>0</v>
      </c>
      <c r="H1300" s="63">
        <v>0</v>
      </c>
    </row>
    <row r="1301" spans="1:10" x14ac:dyDescent="0.25">
      <c r="A1301" s="61" t="s">
        <v>1235</v>
      </c>
      <c r="B1301" s="61" t="s">
        <v>1550</v>
      </c>
      <c r="C1301" s="62">
        <v>4533</v>
      </c>
      <c r="D1301" s="62">
        <v>0</v>
      </c>
      <c r="E1301" s="62">
        <v>0</v>
      </c>
      <c r="F1301" s="62" t="s">
        <v>0</v>
      </c>
      <c r="G1301" s="63">
        <v>0</v>
      </c>
      <c r="H1301" s="63">
        <v>0</v>
      </c>
    </row>
    <row r="1302" spans="1:10" x14ac:dyDescent="0.25">
      <c r="A1302" s="61" t="s">
        <v>1236</v>
      </c>
      <c r="B1302" s="61" t="s">
        <v>1551</v>
      </c>
      <c r="C1302" s="62">
        <v>136</v>
      </c>
      <c r="D1302" s="62">
        <v>0</v>
      </c>
      <c r="E1302" s="62">
        <v>0</v>
      </c>
      <c r="F1302" s="62" t="s">
        <v>0</v>
      </c>
      <c r="G1302" s="63">
        <v>0</v>
      </c>
      <c r="H1302" s="63">
        <v>0</v>
      </c>
    </row>
    <row r="1303" spans="1:10" x14ac:dyDescent="0.25">
      <c r="A1303" s="61" t="s">
        <v>1237</v>
      </c>
      <c r="B1303" s="61" t="s">
        <v>292</v>
      </c>
      <c r="C1303" s="62">
        <v>1717</v>
      </c>
      <c r="D1303" s="62">
        <v>0</v>
      </c>
      <c r="E1303" s="62">
        <v>0</v>
      </c>
      <c r="F1303" s="62">
        <v>1.2</v>
      </c>
      <c r="G1303" s="63">
        <v>0</v>
      </c>
      <c r="H1303" s="63">
        <v>0</v>
      </c>
    </row>
    <row r="1304" spans="1:10" ht="15.75" thickBot="1" x14ac:dyDescent="0.3">
      <c r="A1304" s="61" t="s">
        <v>1238</v>
      </c>
      <c r="B1304" s="61" t="s">
        <v>1373</v>
      </c>
      <c r="C1304" s="65">
        <v>430</v>
      </c>
      <c r="D1304" s="65">
        <v>0</v>
      </c>
      <c r="E1304" s="65">
        <v>0</v>
      </c>
      <c r="F1304" s="65">
        <v>0.32</v>
      </c>
      <c r="G1304" s="66">
        <v>0</v>
      </c>
      <c r="H1304" s="66">
        <v>0</v>
      </c>
    </row>
    <row r="1305" spans="1:10" s="3" customFormat="1" x14ac:dyDescent="0.25">
      <c r="B1305" s="3" t="s">
        <v>1274</v>
      </c>
      <c r="C1305" s="6">
        <f>SUM(C1298:C1304)</f>
        <v>28095</v>
      </c>
      <c r="D1305" s="6">
        <f t="shared" ref="D1305:H1305" si="80">SUM(D1298:D1304)</f>
        <v>0</v>
      </c>
      <c r="E1305" s="6">
        <f t="shared" si="80"/>
        <v>0</v>
      </c>
      <c r="F1305" s="6">
        <f t="shared" si="80"/>
        <v>17.150000000000002</v>
      </c>
      <c r="G1305" s="8">
        <f t="shared" si="80"/>
        <v>0</v>
      </c>
      <c r="H1305" s="8">
        <f t="shared" si="80"/>
        <v>0</v>
      </c>
      <c r="J1305"/>
    </row>
    <row r="1306" spans="1:10" x14ac:dyDescent="0.25">
      <c r="C1306" s="4"/>
      <c r="D1306" s="4"/>
      <c r="E1306" s="4"/>
      <c r="F1306" s="4"/>
    </row>
    <row r="1307" spans="1:10" s="3" customFormat="1" x14ac:dyDescent="0.25">
      <c r="A1307" s="3" t="s">
        <v>1239</v>
      </c>
      <c r="B1307" s="3" t="s">
        <v>1460</v>
      </c>
      <c r="C1307" s="6">
        <v>28095</v>
      </c>
      <c r="D1307" s="6">
        <v>0</v>
      </c>
      <c r="E1307" s="6">
        <v>0</v>
      </c>
      <c r="F1307" s="6">
        <v>17.149999999999999</v>
      </c>
      <c r="G1307" s="14">
        <v>0</v>
      </c>
      <c r="H1307" s="14">
        <v>0</v>
      </c>
      <c r="J1307"/>
    </row>
    <row r="1308" spans="1:10" x14ac:dyDescent="0.25">
      <c r="C1308" s="4"/>
      <c r="D1308" s="4"/>
      <c r="E1308" s="4"/>
      <c r="F1308" s="4"/>
    </row>
    <row r="1309" spans="1:10" x14ac:dyDescent="0.25">
      <c r="A1309" s="61" t="s">
        <v>1240</v>
      </c>
      <c r="B1309" s="61" t="s">
        <v>1241</v>
      </c>
      <c r="C1309" s="62">
        <v>475000</v>
      </c>
      <c r="D1309" s="62">
        <v>475000</v>
      </c>
      <c r="E1309" s="62">
        <v>475000</v>
      </c>
      <c r="F1309" s="62">
        <v>0</v>
      </c>
      <c r="G1309" s="63">
        <v>475000</v>
      </c>
      <c r="H1309" s="63">
        <v>475000</v>
      </c>
    </row>
    <row r="1310" spans="1:10" ht="15.75" thickBot="1" x14ac:dyDescent="0.3">
      <c r="A1310" s="61" t="s">
        <v>1242</v>
      </c>
      <c r="B1310" s="61" t="s">
        <v>1243</v>
      </c>
      <c r="C1310" s="65">
        <v>10367</v>
      </c>
      <c r="D1310" s="65">
        <v>12000</v>
      </c>
      <c r="E1310" s="65">
        <v>12000</v>
      </c>
      <c r="F1310" s="65">
        <v>4643.51</v>
      </c>
      <c r="G1310" s="66">
        <v>12000</v>
      </c>
      <c r="H1310" s="66">
        <v>12000</v>
      </c>
    </row>
    <row r="1311" spans="1:10" s="3" customFormat="1" x14ac:dyDescent="0.25">
      <c r="B1311" s="3" t="s">
        <v>1461</v>
      </c>
      <c r="C1311" s="6">
        <f>SUM(C1309:C1310)</f>
        <v>485367</v>
      </c>
      <c r="D1311" s="6">
        <f t="shared" ref="D1311:H1311" si="81">SUM(D1309:D1310)</f>
        <v>487000</v>
      </c>
      <c r="E1311" s="6">
        <f t="shared" si="81"/>
        <v>487000</v>
      </c>
      <c r="F1311" s="6">
        <f t="shared" si="81"/>
        <v>4643.51</v>
      </c>
      <c r="G1311" s="8">
        <f t="shared" si="81"/>
        <v>487000</v>
      </c>
      <c r="H1311" s="8">
        <f t="shared" si="81"/>
        <v>487000</v>
      </c>
      <c r="J1311"/>
    </row>
    <row r="1312" spans="1:10" x14ac:dyDescent="0.25">
      <c r="C1312" s="4"/>
      <c r="D1312" s="4"/>
      <c r="E1312" s="4"/>
      <c r="F1312" s="4"/>
    </row>
    <row r="1313" spans="1:14" s="3" customFormat="1" x14ac:dyDescent="0.25">
      <c r="A1313" s="3" t="s">
        <v>1244</v>
      </c>
      <c r="B1313" s="3" t="s">
        <v>1462</v>
      </c>
      <c r="C1313" s="6">
        <v>485367</v>
      </c>
      <c r="D1313" s="6">
        <v>487000</v>
      </c>
      <c r="E1313" s="6">
        <v>487000</v>
      </c>
      <c r="F1313" s="6">
        <v>4643.51</v>
      </c>
      <c r="G1313" s="14">
        <f>G1311</f>
        <v>487000</v>
      </c>
      <c r="H1313" s="14">
        <f>H1311</f>
        <v>487000</v>
      </c>
      <c r="J1313"/>
    </row>
    <row r="1314" spans="1:14" x14ac:dyDescent="0.25">
      <c r="C1314" s="4"/>
      <c r="D1314" s="4"/>
      <c r="E1314" s="4"/>
      <c r="F1314" s="4"/>
    </row>
    <row r="1315" spans="1:14" x14ac:dyDescent="0.25">
      <c r="A1315" s="61" t="s">
        <v>1245</v>
      </c>
      <c r="B1315" s="61" t="s">
        <v>1246</v>
      </c>
      <c r="C1315" s="62">
        <v>0</v>
      </c>
      <c r="D1315" s="62">
        <v>0</v>
      </c>
      <c r="E1315" s="62">
        <v>0</v>
      </c>
      <c r="F1315" s="62">
        <v>6429.78</v>
      </c>
      <c r="G1315" s="63">
        <v>0</v>
      </c>
      <c r="H1315" s="63">
        <v>0</v>
      </c>
    </row>
    <row r="1316" spans="1:14" ht="15.75" thickBot="1" x14ac:dyDescent="0.3">
      <c r="A1316" s="61" t="s">
        <v>1247</v>
      </c>
      <c r="B1316" s="61" t="s">
        <v>547</v>
      </c>
      <c r="C1316" s="65">
        <v>75369</v>
      </c>
      <c r="D1316" s="65">
        <v>400000</v>
      </c>
      <c r="E1316" s="65">
        <v>449800.49</v>
      </c>
      <c r="F1316" s="65">
        <v>369136.26</v>
      </c>
      <c r="G1316" s="66">
        <v>250000</v>
      </c>
      <c r="H1316" s="66">
        <v>250000</v>
      </c>
    </row>
    <row r="1317" spans="1:14" s="3" customFormat="1" x14ac:dyDescent="0.25">
      <c r="B1317" s="3" t="s">
        <v>1386</v>
      </c>
      <c r="C1317" s="6">
        <f>SUM(C1315:C1316)</f>
        <v>75369</v>
      </c>
      <c r="D1317" s="6">
        <f t="shared" ref="D1317:G1317" si="82">SUM(D1315:D1316)</f>
        <v>400000</v>
      </c>
      <c r="E1317" s="6">
        <f t="shared" si="82"/>
        <v>449800.49</v>
      </c>
      <c r="F1317" s="6">
        <f t="shared" si="82"/>
        <v>375566.04000000004</v>
      </c>
      <c r="G1317" s="8">
        <f t="shared" si="82"/>
        <v>250000</v>
      </c>
      <c r="H1317" s="8">
        <f t="shared" ref="H1317" si="83">SUM(H1315:H1316)</f>
        <v>250000</v>
      </c>
      <c r="J1317"/>
    </row>
    <row r="1318" spans="1:14" x14ac:dyDescent="0.25">
      <c r="C1318" s="4"/>
      <c r="D1318" s="4"/>
      <c r="E1318" s="4"/>
      <c r="F1318" s="4"/>
    </row>
    <row r="1319" spans="1:14" s="3" customFormat="1" x14ac:dyDescent="0.25">
      <c r="A1319" s="3" t="s">
        <v>1248</v>
      </c>
      <c r="B1319" s="3" t="s">
        <v>1463</v>
      </c>
      <c r="C1319" s="6">
        <v>83879</v>
      </c>
      <c r="D1319" s="6">
        <v>400000</v>
      </c>
      <c r="E1319" s="6">
        <v>449800.49</v>
      </c>
      <c r="F1319" s="6">
        <v>375566.04</v>
      </c>
      <c r="G1319" s="14">
        <f>G1317</f>
        <v>250000</v>
      </c>
      <c r="H1319" s="14">
        <f>H1317</f>
        <v>250000</v>
      </c>
      <c r="J1319"/>
    </row>
    <row r="1320" spans="1:14" x14ac:dyDescent="0.25">
      <c r="C1320" s="4"/>
      <c r="D1320" s="4"/>
      <c r="E1320" s="4"/>
      <c r="F1320" s="4"/>
    </row>
    <row r="1321" spans="1:14" ht="15.75" thickBot="1" x14ac:dyDescent="0.3">
      <c r="A1321" s="61" t="s">
        <v>1249</v>
      </c>
      <c r="B1321" s="61" t="s">
        <v>1250</v>
      </c>
      <c r="C1321" s="65">
        <v>10315676</v>
      </c>
      <c r="D1321" s="65">
        <v>6250000</v>
      </c>
      <c r="E1321" s="65">
        <v>6250000</v>
      </c>
      <c r="F1321" s="65">
        <v>5679489</v>
      </c>
      <c r="G1321" s="66">
        <v>3505810</v>
      </c>
      <c r="H1321" s="66">
        <v>3505811</v>
      </c>
    </row>
    <row r="1322" spans="1:14" s="3" customFormat="1" x14ac:dyDescent="0.25">
      <c r="B1322" s="3" t="s">
        <v>1298</v>
      </c>
      <c r="C1322" s="6">
        <f>SUM(C1321)</f>
        <v>10315676</v>
      </c>
      <c r="D1322" s="6">
        <f t="shared" ref="D1322:G1322" si="84">SUM(D1321)</f>
        <v>6250000</v>
      </c>
      <c r="E1322" s="6">
        <f t="shared" si="84"/>
        <v>6250000</v>
      </c>
      <c r="F1322" s="6">
        <f t="shared" si="84"/>
        <v>5679489</v>
      </c>
      <c r="G1322" s="8">
        <f t="shared" si="84"/>
        <v>3505810</v>
      </c>
      <c r="H1322" s="8">
        <f t="shared" ref="H1322" si="85">SUM(H1321)</f>
        <v>3505811</v>
      </c>
      <c r="J1322"/>
    </row>
    <row r="1323" spans="1:14" x14ac:dyDescent="0.25">
      <c r="C1323" s="4"/>
      <c r="D1323" s="4"/>
      <c r="E1323" s="4"/>
      <c r="F1323" s="4"/>
    </row>
    <row r="1324" spans="1:14" s="3" customFormat="1" x14ac:dyDescent="0.25">
      <c r="A1324" s="3" t="s">
        <v>1251</v>
      </c>
      <c r="B1324" s="3" t="s">
        <v>1464</v>
      </c>
      <c r="C1324" s="6">
        <v>10315676</v>
      </c>
      <c r="D1324" s="6">
        <v>6250000</v>
      </c>
      <c r="E1324" s="6">
        <v>6250000</v>
      </c>
      <c r="F1324" s="6">
        <v>5679489</v>
      </c>
      <c r="G1324" s="14">
        <v>3484576</v>
      </c>
      <c r="H1324" s="14">
        <v>3484576</v>
      </c>
      <c r="J1324"/>
      <c r="M1324"/>
      <c r="N1324"/>
    </row>
    <row r="1325" spans="1:14" x14ac:dyDescent="0.25">
      <c r="C1325" s="4"/>
      <c r="D1325" s="4"/>
      <c r="E1325" s="4"/>
      <c r="F1325" s="4"/>
      <c r="M1325"/>
      <c r="N1325" s="72"/>
    </row>
    <row r="1326" spans="1:14" x14ac:dyDescent="0.25">
      <c r="A1326" s="61" t="s">
        <v>1252</v>
      </c>
      <c r="B1326" s="61" t="s">
        <v>1253</v>
      </c>
      <c r="C1326" s="62">
        <v>546119</v>
      </c>
      <c r="D1326" s="62">
        <v>500000</v>
      </c>
      <c r="E1326" s="62">
        <v>500000</v>
      </c>
      <c r="F1326" s="62">
        <v>495159.5</v>
      </c>
      <c r="G1326" s="63">
        <v>500000</v>
      </c>
      <c r="H1326" s="63">
        <v>500000</v>
      </c>
      <c r="M1326"/>
      <c r="N1326" s="72"/>
    </row>
    <row r="1327" spans="1:14" ht="15.75" thickBot="1" x14ac:dyDescent="0.3">
      <c r="A1327" s="61" t="s">
        <v>1254</v>
      </c>
      <c r="B1327" s="61" t="s">
        <v>1253</v>
      </c>
      <c r="C1327" s="65">
        <v>155428</v>
      </c>
      <c r="D1327" s="65">
        <v>155000</v>
      </c>
      <c r="E1327" s="65">
        <v>155000</v>
      </c>
      <c r="F1327" s="65">
        <v>118671.18</v>
      </c>
      <c r="G1327" s="66">
        <v>155000</v>
      </c>
      <c r="H1327" s="66">
        <v>155000</v>
      </c>
      <c r="M1327"/>
      <c r="N1327" s="72"/>
    </row>
    <row r="1328" spans="1:14" s="3" customFormat="1" x14ac:dyDescent="0.25">
      <c r="B1328" s="3" t="s">
        <v>1298</v>
      </c>
      <c r="C1328" s="6">
        <f>SUM(C1326:C1327)</f>
        <v>701547</v>
      </c>
      <c r="D1328" s="6">
        <f t="shared" ref="D1328:G1328" si="86">SUM(D1326:D1327)</f>
        <v>655000</v>
      </c>
      <c r="E1328" s="6">
        <f t="shared" si="86"/>
        <v>655000</v>
      </c>
      <c r="F1328" s="6">
        <f t="shared" si="86"/>
        <v>613830.67999999993</v>
      </c>
      <c r="G1328" s="8">
        <f t="shared" si="86"/>
        <v>655000</v>
      </c>
      <c r="H1328" s="8">
        <f t="shared" ref="H1328" si="87">SUM(H1326:H1327)</f>
        <v>655000</v>
      </c>
      <c r="J1328"/>
      <c r="M1328"/>
      <c r="N1328" s="72"/>
    </row>
    <row r="1329" spans="1:14" x14ac:dyDescent="0.25">
      <c r="C1329" s="4"/>
      <c r="D1329" s="4"/>
      <c r="E1329" s="4"/>
      <c r="F1329" s="4"/>
      <c r="M1329" s="73"/>
      <c r="N1329" s="74"/>
    </row>
    <row r="1330" spans="1:14" s="3" customFormat="1" x14ac:dyDescent="0.25">
      <c r="A1330" s="3" t="s">
        <v>1255</v>
      </c>
      <c r="B1330" s="3" t="s">
        <v>1465</v>
      </c>
      <c r="C1330" s="6">
        <v>701547</v>
      </c>
      <c r="D1330" s="6">
        <v>655000</v>
      </c>
      <c r="E1330" s="6">
        <v>655000</v>
      </c>
      <c r="F1330" s="6">
        <v>613830.68000000005</v>
      </c>
      <c r="G1330" s="14">
        <f>G1328</f>
        <v>655000</v>
      </c>
      <c r="H1330" s="14">
        <f>H1328</f>
        <v>655000</v>
      </c>
      <c r="J1330"/>
      <c r="M1330"/>
      <c r="N1330" s="72"/>
    </row>
    <row r="1331" spans="1:14" x14ac:dyDescent="0.25">
      <c r="C1331" s="4"/>
      <c r="D1331" s="4"/>
      <c r="E1331" s="4"/>
      <c r="F1331" s="4"/>
    </row>
    <row r="1332" spans="1:14" s="3" customFormat="1" x14ac:dyDescent="0.25">
      <c r="A1332" s="3" t="s">
        <v>1256</v>
      </c>
      <c r="B1332" s="3" t="s">
        <v>1466</v>
      </c>
      <c r="C1332" s="6">
        <v>46362143</v>
      </c>
      <c r="D1332" s="6">
        <v>30226800</v>
      </c>
      <c r="E1332" s="6">
        <v>30266676.82</v>
      </c>
      <c r="F1332" s="6">
        <f>F1330+F1324+F1319+F1313+F1307+F1296+F1263+F1243+F1200+F1134+F1004+F963+F912+F906+F780+F693+F637+F598+F510</f>
        <v>26244511.969999999</v>
      </c>
      <c r="G1332" s="14">
        <f>G1330+G1324+G1319+G1313+G1307+G1296+G1263+G1243+G1200+G1134+G1004+G963+G912+G906+G780+G693+G637+G598+G510</f>
        <v>24577201.485714998</v>
      </c>
      <c r="H1332" s="14">
        <f>H1330+H1324+H1319+H1313+H1307+H1296+H1263+H1243+H1200+H1134+H1004+H963+H912+H906+H780+H693+H637+H598+H510</f>
        <v>24988837.987910938</v>
      </c>
      <c r="J1332"/>
    </row>
    <row r="1333" spans="1:14" x14ac:dyDescent="0.25">
      <c r="A1333" s="7"/>
    </row>
    <row r="1334" spans="1:14" x14ac:dyDescent="0.25">
      <c r="A1334" s="7" t="s">
        <v>1257</v>
      </c>
      <c r="B1334" s="7" t="s">
        <v>0</v>
      </c>
      <c r="C1334" s="8">
        <v>40722365</v>
      </c>
      <c r="D1334" s="8">
        <v>33090013</v>
      </c>
      <c r="E1334" s="8">
        <v>33129889.82</v>
      </c>
      <c r="F1334" s="8" t="s">
        <v>1258</v>
      </c>
      <c r="G1334" s="14">
        <f>G26</f>
        <v>24998664</v>
      </c>
      <c r="H1334" s="14">
        <f>H26</f>
        <v>25021479.390000001</v>
      </c>
    </row>
    <row r="1335" spans="1:14" x14ac:dyDescent="0.25">
      <c r="A1335" s="7" t="s">
        <v>1259</v>
      </c>
      <c r="B1335" s="7" t="s">
        <v>0</v>
      </c>
      <c r="C1335" s="17">
        <v>46362143</v>
      </c>
      <c r="D1335" s="17">
        <v>30226800</v>
      </c>
      <c r="E1335" s="17">
        <v>30266676.82</v>
      </c>
      <c r="F1335" s="17">
        <f>F1332</f>
        <v>26244511.969999999</v>
      </c>
      <c r="G1335" s="17">
        <f>G1332</f>
        <v>24577201.485714998</v>
      </c>
      <c r="H1335" s="17">
        <f>H1332</f>
        <v>24988837.987910938</v>
      </c>
    </row>
    <row r="1336" spans="1:14" x14ac:dyDescent="0.25">
      <c r="A1336" s="7" t="s">
        <v>1260</v>
      </c>
      <c r="B1336" s="7" t="s">
        <v>0</v>
      </c>
      <c r="C1336" s="8">
        <v>-5639778</v>
      </c>
      <c r="D1336" s="8" t="s">
        <v>1261</v>
      </c>
      <c r="E1336" s="8" t="s">
        <v>1262</v>
      </c>
      <c r="F1336" s="8">
        <f>F1334-F1335</f>
        <v>13001488.480000004</v>
      </c>
      <c r="G1336" s="14">
        <f>G1334-G1335</f>
        <v>421462.5142850019</v>
      </c>
      <c r="H1336" s="14">
        <f>H1334-H1335</f>
        <v>32641.402089063078</v>
      </c>
    </row>
  </sheetData>
  <pageMargins left="0.75" right="0.75" top="1" bottom="1" header="0.5" footer="0.5"/>
  <pageSetup scale="78" fitToHeight="0" orientation="landscape"/>
  <headerFooter>
    <oddFooter>&amp;R&amp;P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selection activeCell="B7" sqref="B7"/>
    </sheetView>
  </sheetViews>
  <sheetFormatPr defaultColWidth="8.85546875" defaultRowHeight="12" x14ac:dyDescent="0.2"/>
  <cols>
    <col min="1" max="1" width="26.42578125" style="1" bestFit="1" customWidth="1"/>
    <col min="2" max="2" width="35" style="1" bestFit="1" customWidth="1"/>
    <col min="3" max="3" width="15.42578125" style="1" bestFit="1" customWidth="1"/>
    <col min="4" max="4" width="11.140625" style="1" bestFit="1" customWidth="1"/>
    <col min="5" max="6" width="15" style="1" bestFit="1" customWidth="1"/>
    <col min="7" max="7" width="12.42578125" style="1" bestFit="1" customWidth="1"/>
    <col min="8" max="8" width="11.42578125" style="1" customWidth="1"/>
    <col min="9" max="16384" width="8.85546875" style="1"/>
  </cols>
  <sheetData>
    <row r="1" spans="1:8" x14ac:dyDescent="0.2">
      <c r="A1" s="3" t="s">
        <v>0</v>
      </c>
      <c r="B1" s="3" t="s">
        <v>0</v>
      </c>
      <c r="C1" s="3" t="s">
        <v>0</v>
      </c>
      <c r="D1" s="3" t="s">
        <v>1</v>
      </c>
      <c r="E1" s="3" t="s">
        <v>2</v>
      </c>
      <c r="F1" s="3" t="s">
        <v>2</v>
      </c>
      <c r="G1" s="3" t="s">
        <v>2</v>
      </c>
      <c r="H1" s="12" t="s">
        <v>1264</v>
      </c>
    </row>
    <row r="2" spans="1:8" ht="48" x14ac:dyDescent="0.2">
      <c r="A2" s="9" t="s">
        <v>3</v>
      </c>
      <c r="B2" s="9" t="s">
        <v>1500</v>
      </c>
      <c r="C2" s="9" t="s">
        <v>1468</v>
      </c>
      <c r="D2" s="9" t="s">
        <v>4</v>
      </c>
      <c r="E2" s="9" t="s">
        <v>5</v>
      </c>
      <c r="F2" s="9" t="s">
        <v>6</v>
      </c>
      <c r="G2" s="9" t="s">
        <v>7</v>
      </c>
      <c r="H2" s="11" t="s">
        <v>1273</v>
      </c>
    </row>
    <row r="3" spans="1:8" x14ac:dyDescent="0.2">
      <c r="A3" s="1" t="s">
        <v>1501</v>
      </c>
      <c r="B3" s="1" t="s">
        <v>1502</v>
      </c>
      <c r="C3" s="1" t="s">
        <v>1503</v>
      </c>
      <c r="D3" s="4">
        <v>2183</v>
      </c>
      <c r="E3" s="4">
        <v>0</v>
      </c>
      <c r="F3" s="4">
        <v>0</v>
      </c>
      <c r="G3" s="4">
        <v>326</v>
      </c>
      <c r="H3" s="4">
        <v>0</v>
      </c>
    </row>
    <row r="4" spans="1:8" x14ac:dyDescent="0.2">
      <c r="A4" s="1" t="s">
        <v>1504</v>
      </c>
      <c r="B4" s="1" t="s">
        <v>1505</v>
      </c>
      <c r="C4" s="1" t="s">
        <v>1503</v>
      </c>
      <c r="D4" s="4">
        <v>357382</v>
      </c>
      <c r="E4" s="4">
        <v>383761</v>
      </c>
      <c r="F4" s="4">
        <v>383761</v>
      </c>
      <c r="G4" s="4">
        <v>303968</v>
      </c>
      <c r="H4" s="4">
        <v>383761</v>
      </c>
    </row>
    <row r="5" spans="1:8" x14ac:dyDescent="0.2">
      <c r="A5" s="1" t="s">
        <v>1506</v>
      </c>
      <c r="B5" s="1" t="s">
        <v>1505</v>
      </c>
      <c r="C5" s="1" t="s">
        <v>1503</v>
      </c>
      <c r="D5" s="4">
        <v>47155</v>
      </c>
      <c r="E5" s="4">
        <v>52142</v>
      </c>
      <c r="F5" s="4">
        <v>52142</v>
      </c>
      <c r="G5" s="4">
        <v>40913</v>
      </c>
      <c r="H5" s="4">
        <v>52142</v>
      </c>
    </row>
    <row r="6" spans="1:8" x14ac:dyDescent="0.2">
      <c r="A6" s="1" t="s">
        <v>1507</v>
      </c>
      <c r="B6" s="1" t="s">
        <v>1505</v>
      </c>
      <c r="C6" s="1" t="s">
        <v>1503</v>
      </c>
      <c r="D6" s="4">
        <v>6383</v>
      </c>
      <c r="E6" s="4">
        <v>6000</v>
      </c>
      <c r="F6" s="4">
        <v>6000</v>
      </c>
      <c r="G6" s="4">
        <v>6328</v>
      </c>
      <c r="H6" s="4">
        <v>6000</v>
      </c>
    </row>
    <row r="7" spans="1:8" x14ac:dyDescent="0.2">
      <c r="A7" s="1" t="s">
        <v>1508</v>
      </c>
      <c r="B7" s="1" t="s">
        <v>1509</v>
      </c>
      <c r="C7" s="1" t="s">
        <v>1503</v>
      </c>
      <c r="D7" s="4">
        <v>7126</v>
      </c>
      <c r="E7" s="4">
        <v>7154</v>
      </c>
      <c r="F7" s="4">
        <v>7154</v>
      </c>
      <c r="G7" s="4">
        <v>6977</v>
      </c>
      <c r="H7" s="4">
        <v>7154</v>
      </c>
    </row>
    <row r="8" spans="1:8" x14ac:dyDescent="0.2">
      <c r="A8" s="1" t="s">
        <v>1510</v>
      </c>
      <c r="B8" s="1" t="s">
        <v>1511</v>
      </c>
      <c r="C8" s="1" t="s">
        <v>1503</v>
      </c>
      <c r="D8" s="4">
        <v>342473</v>
      </c>
      <c r="E8" s="4">
        <v>287933</v>
      </c>
      <c r="F8" s="4">
        <v>287933</v>
      </c>
      <c r="G8" s="4">
        <v>272530</v>
      </c>
      <c r="H8" s="4">
        <v>287933</v>
      </c>
    </row>
    <row r="9" spans="1:8" x14ac:dyDescent="0.2">
      <c r="A9" s="1" t="s">
        <v>1512</v>
      </c>
      <c r="B9" s="1" t="s">
        <v>1513</v>
      </c>
      <c r="C9" s="1" t="s">
        <v>1503</v>
      </c>
      <c r="D9" s="4">
        <v>685689</v>
      </c>
      <c r="E9" s="4">
        <v>585620</v>
      </c>
      <c r="F9" s="4">
        <v>585620</v>
      </c>
      <c r="G9" s="4">
        <v>686293</v>
      </c>
      <c r="H9" s="4">
        <v>585620</v>
      </c>
    </row>
    <row r="10" spans="1:8" x14ac:dyDescent="0.2">
      <c r="A10" s="1" t="s">
        <v>1514</v>
      </c>
      <c r="B10" s="1" t="s">
        <v>1515</v>
      </c>
      <c r="C10" s="1" t="s">
        <v>1503</v>
      </c>
      <c r="D10" s="5">
        <v>89497</v>
      </c>
      <c r="E10" s="5">
        <v>75014</v>
      </c>
      <c r="F10" s="5">
        <v>75014</v>
      </c>
      <c r="G10" s="5">
        <v>0</v>
      </c>
      <c r="H10" s="5">
        <v>75014</v>
      </c>
    </row>
    <row r="11" spans="1:8" s="3" customFormat="1" x14ac:dyDescent="0.2">
      <c r="A11" s="3" t="s">
        <v>1516</v>
      </c>
      <c r="B11" s="3" t="s">
        <v>1531</v>
      </c>
      <c r="C11" s="3" t="s">
        <v>0</v>
      </c>
      <c r="D11" s="6">
        <v>1537888</v>
      </c>
      <c r="E11" s="6">
        <v>1397624</v>
      </c>
      <c r="F11" s="6">
        <v>1397624</v>
      </c>
      <c r="G11" s="6">
        <v>1317335</v>
      </c>
      <c r="H11" s="6">
        <f>SUM(H3:H10)</f>
        <v>1397624</v>
      </c>
    </row>
    <row r="12" spans="1:8" x14ac:dyDescent="0.2">
      <c r="D12" s="4"/>
      <c r="E12" s="4"/>
      <c r="F12" s="4"/>
      <c r="G12" s="4"/>
      <c r="H12" s="4"/>
    </row>
    <row r="13" spans="1:8" x14ac:dyDescent="0.2">
      <c r="A13" s="1" t="s">
        <v>1517</v>
      </c>
      <c r="B13" s="1" t="s">
        <v>414</v>
      </c>
      <c r="C13" s="1" t="s">
        <v>1518</v>
      </c>
      <c r="D13" s="4">
        <v>439</v>
      </c>
      <c r="E13" s="4">
        <v>5000</v>
      </c>
      <c r="F13" s="4">
        <v>5000</v>
      </c>
      <c r="G13" s="4">
        <v>0</v>
      </c>
      <c r="H13" s="4">
        <v>5000</v>
      </c>
    </row>
    <row r="14" spans="1:8" x14ac:dyDescent="0.2">
      <c r="A14" s="1" t="s">
        <v>1519</v>
      </c>
      <c r="B14" s="1" t="s">
        <v>1009</v>
      </c>
      <c r="C14" s="1" t="s">
        <v>1518</v>
      </c>
      <c r="D14" s="4">
        <v>1397588</v>
      </c>
      <c r="E14" s="4">
        <v>1294271</v>
      </c>
      <c r="F14" s="4">
        <v>1294271</v>
      </c>
      <c r="G14" s="4">
        <v>1369066</v>
      </c>
      <c r="H14" s="50">
        <v>1294271</v>
      </c>
    </row>
    <row r="15" spans="1:8" x14ac:dyDescent="0.2">
      <c r="A15" s="1" t="s">
        <v>1520</v>
      </c>
      <c r="B15" s="1" t="s">
        <v>1515</v>
      </c>
      <c r="C15" s="1" t="s">
        <v>1518</v>
      </c>
      <c r="D15" s="4">
        <v>89497</v>
      </c>
      <c r="E15" s="4">
        <v>75014</v>
      </c>
      <c r="F15" s="4">
        <v>75014</v>
      </c>
      <c r="G15" s="4">
        <v>0</v>
      </c>
      <c r="H15" s="4">
        <v>75014</v>
      </c>
    </row>
    <row r="16" spans="1:8" x14ac:dyDescent="0.2">
      <c r="A16" s="1" t="s">
        <v>1521</v>
      </c>
      <c r="B16" s="1" t="s">
        <v>439</v>
      </c>
      <c r="C16" s="1" t="s">
        <v>1518</v>
      </c>
      <c r="D16" s="4">
        <v>12257</v>
      </c>
      <c r="E16" s="4">
        <v>5339</v>
      </c>
      <c r="F16" s="4">
        <v>5339</v>
      </c>
      <c r="G16" s="4">
        <v>6725</v>
      </c>
      <c r="H16" s="4">
        <v>5339</v>
      </c>
    </row>
    <row r="17" spans="1:8" x14ac:dyDescent="0.2">
      <c r="A17" s="1" t="s">
        <v>1522</v>
      </c>
      <c r="B17" s="1" t="s">
        <v>545</v>
      </c>
      <c r="C17" s="1" t="s">
        <v>1518</v>
      </c>
      <c r="D17" s="4">
        <v>60</v>
      </c>
      <c r="E17" s="4">
        <v>0</v>
      </c>
      <c r="F17" s="4">
        <v>0</v>
      </c>
      <c r="G17" s="4">
        <v>0</v>
      </c>
      <c r="H17" s="4">
        <v>0</v>
      </c>
    </row>
    <row r="18" spans="1:8" x14ac:dyDescent="0.2">
      <c r="A18" s="1" t="s">
        <v>1523</v>
      </c>
      <c r="B18" s="1" t="s">
        <v>547</v>
      </c>
      <c r="C18" s="1" t="s">
        <v>1518</v>
      </c>
      <c r="D18" s="5">
        <v>500000</v>
      </c>
      <c r="E18" s="5">
        <v>0</v>
      </c>
      <c r="F18" s="5">
        <v>0</v>
      </c>
      <c r="G18" s="5">
        <v>0</v>
      </c>
      <c r="H18" s="5">
        <v>0</v>
      </c>
    </row>
    <row r="19" spans="1:8" s="3" customFormat="1" x14ac:dyDescent="0.2">
      <c r="A19" s="3" t="s">
        <v>1524</v>
      </c>
      <c r="B19" s="3" t="s">
        <v>1532</v>
      </c>
      <c r="C19" s="3" t="s">
        <v>0</v>
      </c>
      <c r="D19" s="6">
        <v>1999841</v>
      </c>
      <c r="E19" s="6">
        <v>1379624</v>
      </c>
      <c r="F19" s="6">
        <v>1379624</v>
      </c>
      <c r="G19" s="6">
        <v>1375791</v>
      </c>
      <c r="H19" s="6">
        <f>SUM(H13:H18)</f>
        <v>1379624</v>
      </c>
    </row>
    <row r="20" spans="1:8" x14ac:dyDescent="0.2">
      <c r="A20" s="7"/>
      <c r="D20" s="4"/>
      <c r="E20" s="4"/>
      <c r="F20" s="4"/>
      <c r="G20" s="4"/>
      <c r="H20" s="4"/>
    </row>
    <row r="21" spans="1:8" x14ac:dyDescent="0.2">
      <c r="A21" s="7" t="s">
        <v>1257</v>
      </c>
      <c r="B21" s="7" t="s">
        <v>0</v>
      </c>
      <c r="C21" s="7" t="s">
        <v>0</v>
      </c>
      <c r="D21" s="8" t="s">
        <v>1525</v>
      </c>
      <c r="E21" s="8" t="s">
        <v>1526</v>
      </c>
      <c r="F21" s="8" t="s">
        <v>1526</v>
      </c>
      <c r="G21" s="8" t="s">
        <v>1527</v>
      </c>
      <c r="H21" s="6">
        <f>H11</f>
        <v>1397624</v>
      </c>
    </row>
    <row r="22" spans="1:8" x14ac:dyDescent="0.2">
      <c r="A22" s="7" t="s">
        <v>1259</v>
      </c>
      <c r="B22" s="7" t="s">
        <v>0</v>
      </c>
      <c r="C22" s="7" t="s">
        <v>0</v>
      </c>
      <c r="D22" s="17" t="s">
        <v>1528</v>
      </c>
      <c r="E22" s="17" t="s">
        <v>1529</v>
      </c>
      <c r="F22" s="17" t="s">
        <v>1529</v>
      </c>
      <c r="G22" s="17" t="s">
        <v>1530</v>
      </c>
      <c r="H22" s="16">
        <f>H19</f>
        <v>1379624</v>
      </c>
    </row>
    <row r="23" spans="1:8" x14ac:dyDescent="0.2">
      <c r="A23" s="7" t="s">
        <v>1260</v>
      </c>
      <c r="B23" s="7" t="s">
        <v>0</v>
      </c>
      <c r="C23" s="7" t="s">
        <v>0</v>
      </c>
      <c r="D23" s="8">
        <f>D21-D22</f>
        <v>-461953</v>
      </c>
      <c r="E23" s="8">
        <f t="shared" ref="E23:H23" si="0">E21-E22</f>
        <v>18000</v>
      </c>
      <c r="F23" s="8">
        <f t="shared" si="0"/>
        <v>18000</v>
      </c>
      <c r="G23" s="8">
        <f t="shared" si="0"/>
        <v>-58456</v>
      </c>
      <c r="H23" s="8">
        <f t="shared" si="0"/>
        <v>18000</v>
      </c>
    </row>
  </sheetData>
  <pageMargins left="0.7" right="0.7" top="0.75" bottom="0.75" header="0.3" footer="0.3"/>
  <pageSetup scale="85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activeCell="B6" sqref="B6"/>
    </sheetView>
  </sheetViews>
  <sheetFormatPr defaultColWidth="8.85546875" defaultRowHeight="12" x14ac:dyDescent="0.2"/>
  <cols>
    <col min="1" max="1" width="26.42578125" style="1" bestFit="1" customWidth="1"/>
    <col min="2" max="2" width="35" style="1" bestFit="1" customWidth="1"/>
    <col min="3" max="3" width="15.42578125" style="1" bestFit="1" customWidth="1"/>
    <col min="4" max="4" width="11.140625" style="1" bestFit="1" customWidth="1"/>
    <col min="5" max="6" width="15" style="1" bestFit="1" customWidth="1"/>
    <col min="7" max="7" width="12.42578125" style="1" bestFit="1" customWidth="1"/>
    <col min="8" max="8" width="12.42578125" style="1" customWidth="1"/>
    <col min="9" max="16384" width="8.85546875" style="1"/>
  </cols>
  <sheetData>
    <row r="1" spans="1:8" s="3" customFormat="1" x14ac:dyDescent="0.2">
      <c r="A1" s="3" t="s">
        <v>0</v>
      </c>
      <c r="B1" s="3" t="s">
        <v>0</v>
      </c>
      <c r="C1" s="3" t="s">
        <v>0</v>
      </c>
      <c r="D1" s="3" t="s">
        <v>1</v>
      </c>
      <c r="E1" s="3" t="s">
        <v>2</v>
      </c>
      <c r="F1" s="3" t="s">
        <v>2</v>
      </c>
      <c r="G1" s="3" t="s">
        <v>2</v>
      </c>
      <c r="H1" s="12" t="s">
        <v>1264</v>
      </c>
    </row>
    <row r="2" spans="1:8" s="3" customFormat="1" ht="24" x14ac:dyDescent="0.2">
      <c r="A2" s="9" t="s">
        <v>3</v>
      </c>
      <c r="B2" s="9" t="s">
        <v>1500</v>
      </c>
      <c r="C2" s="9" t="s">
        <v>1468</v>
      </c>
      <c r="D2" s="9" t="s">
        <v>4</v>
      </c>
      <c r="E2" s="9" t="s">
        <v>5</v>
      </c>
      <c r="F2" s="9" t="s">
        <v>6</v>
      </c>
      <c r="G2" s="9" t="s">
        <v>7</v>
      </c>
      <c r="H2" s="11" t="s">
        <v>1273</v>
      </c>
    </row>
    <row r="3" spans="1:8" x14ac:dyDescent="0.2">
      <c r="A3" s="1" t="s">
        <v>1533</v>
      </c>
      <c r="B3" s="1" t="s">
        <v>9</v>
      </c>
      <c r="C3" s="1" t="s">
        <v>1503</v>
      </c>
      <c r="D3" s="4">
        <v>3332069</v>
      </c>
      <c r="E3" s="4">
        <v>2578000</v>
      </c>
      <c r="F3" s="4">
        <v>2578000</v>
      </c>
      <c r="G3" s="4">
        <v>2503607</v>
      </c>
      <c r="H3" s="4">
        <v>2200000</v>
      </c>
    </row>
    <row r="4" spans="1:8" x14ac:dyDescent="0.2">
      <c r="A4" s="1" t="s">
        <v>1534</v>
      </c>
      <c r="B4" s="1" t="s">
        <v>11</v>
      </c>
      <c r="C4" s="1" t="s">
        <v>1503</v>
      </c>
      <c r="D4" s="4">
        <v>17536</v>
      </c>
      <c r="E4" s="4">
        <v>10000</v>
      </c>
      <c r="F4" s="4">
        <v>10000</v>
      </c>
      <c r="G4" s="4">
        <v>24346</v>
      </c>
      <c r="H4" s="4">
        <v>10000</v>
      </c>
    </row>
    <row r="5" spans="1:8" x14ac:dyDescent="0.2">
      <c r="A5" s="1" t="s">
        <v>1535</v>
      </c>
      <c r="B5" s="1" t="s">
        <v>13</v>
      </c>
      <c r="C5" s="1" t="s">
        <v>1503</v>
      </c>
      <c r="D5" s="4">
        <v>18598</v>
      </c>
      <c r="E5" s="4">
        <v>10000</v>
      </c>
      <c r="F5" s="4">
        <v>10000</v>
      </c>
      <c r="G5" s="4">
        <v>21264</v>
      </c>
      <c r="H5" s="4">
        <v>10000</v>
      </c>
    </row>
    <row r="6" spans="1:8" x14ac:dyDescent="0.2">
      <c r="A6" s="1" t="s">
        <v>1536</v>
      </c>
      <c r="B6" s="1" t="s">
        <v>1502</v>
      </c>
      <c r="C6" s="1" t="s">
        <v>1503</v>
      </c>
      <c r="D6" s="4">
        <v>11044</v>
      </c>
      <c r="E6" s="4">
        <v>5000</v>
      </c>
      <c r="F6" s="4">
        <v>5000</v>
      </c>
      <c r="G6" s="4">
        <v>9701</v>
      </c>
      <c r="H6" s="4">
        <v>5000</v>
      </c>
    </row>
    <row r="7" spans="1:8" x14ac:dyDescent="0.2">
      <c r="A7" s="1" t="s">
        <v>1537</v>
      </c>
      <c r="B7" s="1" t="s">
        <v>1509</v>
      </c>
      <c r="C7" s="1" t="s">
        <v>1503</v>
      </c>
      <c r="D7" s="5">
        <v>24442</v>
      </c>
      <c r="E7" s="5">
        <v>0</v>
      </c>
      <c r="F7" s="5">
        <v>0</v>
      </c>
      <c r="G7" s="5">
        <v>0</v>
      </c>
      <c r="H7" s="5">
        <v>0</v>
      </c>
    </row>
    <row r="8" spans="1:8" s="3" customFormat="1" x14ac:dyDescent="0.2">
      <c r="A8" s="3" t="s">
        <v>1538</v>
      </c>
      <c r="B8" s="3" t="s">
        <v>1531</v>
      </c>
      <c r="C8" s="3" t="s">
        <v>0</v>
      </c>
      <c r="D8" s="6">
        <v>3403689</v>
      </c>
      <c r="E8" s="6">
        <v>2603000</v>
      </c>
      <c r="F8" s="6">
        <v>2603000</v>
      </c>
      <c r="G8" s="6">
        <v>2558918</v>
      </c>
      <c r="H8" s="6">
        <f>SUM(H3:H7)</f>
        <v>2225000</v>
      </c>
    </row>
    <row r="9" spans="1:8" x14ac:dyDescent="0.2">
      <c r="D9" s="4"/>
      <c r="E9" s="4"/>
      <c r="F9" s="4"/>
      <c r="G9" s="4"/>
      <c r="H9" s="4"/>
    </row>
    <row r="10" spans="1:8" x14ac:dyDescent="0.2">
      <c r="A10" s="1" t="s">
        <v>1539</v>
      </c>
      <c r="B10" s="1" t="s">
        <v>1540</v>
      </c>
      <c r="C10" s="1" t="s">
        <v>1541</v>
      </c>
      <c r="D10" s="4">
        <v>1895000</v>
      </c>
      <c r="E10" s="4">
        <v>1740000</v>
      </c>
      <c r="F10" s="4">
        <v>1740000</v>
      </c>
      <c r="G10" s="4">
        <v>1970000</v>
      </c>
      <c r="H10" s="4">
        <v>1640000</v>
      </c>
    </row>
    <row r="11" spans="1:8" x14ac:dyDescent="0.2">
      <c r="A11" s="1" t="s">
        <v>1542</v>
      </c>
      <c r="B11" s="1" t="s">
        <v>1543</v>
      </c>
      <c r="C11" s="1" t="s">
        <v>1541</v>
      </c>
      <c r="D11" s="4">
        <v>932206</v>
      </c>
      <c r="E11" s="4">
        <v>859288</v>
      </c>
      <c r="F11" s="4">
        <v>859288</v>
      </c>
      <c r="G11" s="4">
        <v>320907</v>
      </c>
      <c r="H11" s="4">
        <v>645000</v>
      </c>
    </row>
    <row r="12" spans="1:8" x14ac:dyDescent="0.2">
      <c r="A12" s="1" t="s">
        <v>1544</v>
      </c>
      <c r="B12" s="1" t="s">
        <v>1545</v>
      </c>
      <c r="C12" s="1" t="s">
        <v>1541</v>
      </c>
      <c r="D12" s="5">
        <v>7531</v>
      </c>
      <c r="E12" s="5">
        <v>3000</v>
      </c>
      <c r="F12" s="5">
        <v>3000</v>
      </c>
      <c r="G12" s="56">
        <v>-2449</v>
      </c>
      <c r="H12" s="5">
        <v>3000</v>
      </c>
    </row>
    <row r="13" spans="1:8" s="3" customFormat="1" x14ac:dyDescent="0.2">
      <c r="A13" s="3" t="s">
        <v>1546</v>
      </c>
      <c r="B13" s="3" t="s">
        <v>1532</v>
      </c>
      <c r="C13" s="3" t="s">
        <v>0</v>
      </c>
      <c r="D13" s="6">
        <v>2834737</v>
      </c>
      <c r="E13" s="6">
        <v>2602288</v>
      </c>
      <c r="F13" s="6">
        <v>2602288</v>
      </c>
      <c r="G13" s="6">
        <v>2288458</v>
      </c>
      <c r="H13" s="6">
        <f>SUM(H10:H12)</f>
        <v>2288000</v>
      </c>
    </row>
    <row r="14" spans="1:8" x14ac:dyDescent="0.2">
      <c r="A14" s="7"/>
      <c r="D14" s="4"/>
      <c r="E14" s="4"/>
      <c r="F14" s="4"/>
      <c r="G14" s="4"/>
      <c r="H14" s="4"/>
    </row>
    <row r="15" spans="1:8" x14ac:dyDescent="0.2">
      <c r="A15" s="7" t="s">
        <v>1257</v>
      </c>
      <c r="B15" s="7" t="s">
        <v>0</v>
      </c>
      <c r="C15" s="7" t="s">
        <v>0</v>
      </c>
      <c r="D15" s="6">
        <f t="shared" ref="D15:G15" si="0">D8</f>
        <v>3403689</v>
      </c>
      <c r="E15" s="6">
        <f t="shared" si="0"/>
        <v>2603000</v>
      </c>
      <c r="F15" s="6">
        <f t="shared" si="0"/>
        <v>2603000</v>
      </c>
      <c r="G15" s="6">
        <f t="shared" si="0"/>
        <v>2558918</v>
      </c>
      <c r="H15" s="6">
        <f>H8</f>
        <v>2225000</v>
      </c>
    </row>
    <row r="16" spans="1:8" x14ac:dyDescent="0.2">
      <c r="A16" s="7" t="s">
        <v>1259</v>
      </c>
      <c r="B16" s="7" t="s">
        <v>0</v>
      </c>
      <c r="C16" s="7" t="s">
        <v>0</v>
      </c>
      <c r="D16" s="16">
        <f t="shared" ref="D16:G16" si="1">D13</f>
        <v>2834737</v>
      </c>
      <c r="E16" s="16">
        <f t="shared" si="1"/>
        <v>2602288</v>
      </c>
      <c r="F16" s="16">
        <f t="shared" si="1"/>
        <v>2602288</v>
      </c>
      <c r="G16" s="16">
        <f t="shared" si="1"/>
        <v>2288458</v>
      </c>
      <c r="H16" s="16">
        <f>H13</f>
        <v>2288000</v>
      </c>
    </row>
    <row r="17" spans="1:8" x14ac:dyDescent="0.2">
      <c r="A17" s="7" t="s">
        <v>1260</v>
      </c>
      <c r="B17" s="7" t="s">
        <v>0</v>
      </c>
      <c r="C17" s="7" t="s">
        <v>0</v>
      </c>
      <c r="D17" s="8">
        <f>D15-D16</f>
        <v>568952</v>
      </c>
      <c r="E17" s="8">
        <f t="shared" ref="E17:H17" si="2">E15-E16</f>
        <v>712</v>
      </c>
      <c r="F17" s="8">
        <f t="shared" si="2"/>
        <v>712</v>
      </c>
      <c r="G17" s="8">
        <f t="shared" si="2"/>
        <v>270460</v>
      </c>
      <c r="H17" s="8">
        <f t="shared" si="2"/>
        <v>-63000</v>
      </c>
    </row>
  </sheetData>
  <pageMargins left="0.7" right="0.7" top="0.75" bottom="0.75" header="0.3" footer="0.3"/>
  <pageSetup scale="85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Statement of Rev &amp; Exp</vt:lpstr>
      <vt:lpstr>Summary</vt:lpstr>
      <vt:lpstr>Detail</vt:lpstr>
      <vt:lpstr>Food Service</vt:lpstr>
      <vt:lpstr>Debt Service</vt:lpstr>
      <vt:lpstr>Detail!Print_Titles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Floyd</dc:creator>
  <cp:lastModifiedBy>Brittany Floyd</cp:lastModifiedBy>
  <cp:lastPrinted>2017-08-31T19:40:02Z</cp:lastPrinted>
  <dcterms:created xsi:type="dcterms:W3CDTF">2017-08-02T13:43:14Z</dcterms:created>
  <dcterms:modified xsi:type="dcterms:W3CDTF">2017-09-11T18:46:15Z</dcterms:modified>
</cp:coreProperties>
</file>